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C:\Users\Alberto\Desktop\Tesi\Impianti\Cogenerazione\"/>
    </mc:Choice>
  </mc:AlternateContent>
  <xr:revisionPtr revIDLastSave="0" documentId="13_ncr:1_{47E3AD91-C4FE-4057-84ED-BA5AB828E8B7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TABELLE&amp;REG.DEL.UE 2015 24" sheetId="11" r:id="rId1"/>
    <sheet name="Calcolo" sheetId="12" r:id="rId2"/>
    <sheet name="Piano economico" sheetId="15" r:id="rId3"/>
  </sheets>
  <externalReferences>
    <externalReference r:id="rId4"/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4" i="15" l="1"/>
  <c r="D172" i="12" l="1"/>
  <c r="G123" i="12"/>
  <c r="G122" i="12"/>
  <c r="F125" i="12"/>
  <c r="F124" i="12"/>
  <c r="E126" i="12"/>
  <c r="M96" i="12"/>
  <c r="B7" i="15"/>
  <c r="B90" i="15" l="1"/>
  <c r="B91" i="15" s="1"/>
  <c r="B92" i="15" s="1"/>
  <c r="B93" i="15" s="1"/>
  <c r="B94" i="15" s="1"/>
  <c r="B95" i="15" s="1"/>
  <c r="B96" i="15" s="1"/>
  <c r="B97" i="15" s="1"/>
  <c r="B98" i="15" s="1"/>
  <c r="B99" i="15" s="1"/>
  <c r="B100" i="15" s="1"/>
  <c r="B101" i="15" s="1"/>
  <c r="B102" i="15" s="1"/>
  <c r="B103" i="15" s="1"/>
  <c r="B104" i="15" s="1"/>
  <c r="B105" i="15" s="1"/>
  <c r="B106" i="15" s="1"/>
  <c r="B107" i="15" s="1"/>
  <c r="B108" i="15" s="1"/>
  <c r="B109" i="15" s="1"/>
  <c r="B110" i="15" s="1"/>
  <c r="B111" i="15" s="1"/>
  <c r="B112" i="15" s="1"/>
  <c r="B113" i="15" s="1"/>
  <c r="B114" i="15" s="1"/>
  <c r="J34" i="15" l="1"/>
  <c r="AD34" i="15"/>
  <c r="Z34" i="15" l="1"/>
  <c r="V34" i="15"/>
  <c r="R34" i="15"/>
  <c r="AC34" i="15"/>
  <c r="Y34" i="15"/>
  <c r="U34" i="15"/>
  <c r="Q34" i="15"/>
  <c r="AB34" i="15"/>
  <c r="X34" i="15"/>
  <c r="T34" i="15"/>
  <c r="P34" i="15"/>
  <c r="F34" i="15"/>
  <c r="AA34" i="15"/>
  <c r="W34" i="15"/>
  <c r="S34" i="15"/>
  <c r="M34" i="15"/>
  <c r="K34" i="15"/>
  <c r="O34" i="15"/>
  <c r="N34" i="15"/>
  <c r="I34" i="15"/>
  <c r="L34" i="15"/>
  <c r="H34" i="15"/>
  <c r="G34" i="15"/>
  <c r="D141" i="12" l="1"/>
  <c r="D140" i="12"/>
  <c r="E115" i="12"/>
  <c r="E114" i="12"/>
  <c r="E113" i="12"/>
  <c r="E112" i="12"/>
  <c r="E111" i="12"/>
  <c r="E110" i="12"/>
  <c r="L65" i="12"/>
  <c r="B3" i="15" s="1"/>
  <c r="D41" i="15" s="1"/>
  <c r="L55" i="12"/>
  <c r="B2" i="15" s="1"/>
  <c r="T93" i="12"/>
  <c r="U94" i="12" s="1"/>
  <c r="U98" i="12" s="1"/>
  <c r="P93" i="12"/>
  <c r="L87" i="12"/>
  <c r="K87" i="12" s="1"/>
  <c r="L83" i="12"/>
  <c r="K84" i="12"/>
  <c r="K82" i="12"/>
  <c r="L79" i="12"/>
  <c r="K80" i="12"/>
  <c r="K78" i="12"/>
  <c r="R5" i="12"/>
  <c r="R6" i="12" s="1"/>
  <c r="R7" i="12" s="1"/>
  <c r="R8" i="12" s="1"/>
  <c r="R9" i="12" s="1"/>
  <c r="R10" i="12" s="1"/>
  <c r="R11" i="12" s="1"/>
  <c r="R12" i="12" s="1"/>
  <c r="R13" i="12" s="1"/>
  <c r="R14" i="12" s="1"/>
  <c r="R15" i="12" s="1"/>
  <c r="E11" i="12"/>
  <c r="P11" i="12" s="1"/>
  <c r="E10" i="12"/>
  <c r="P10" i="12" s="1"/>
  <c r="E9" i="12"/>
  <c r="P9" i="12" s="1"/>
  <c r="L80" i="12" s="1"/>
  <c r="E8" i="12"/>
  <c r="P8" i="12" s="1"/>
  <c r="E7" i="12"/>
  <c r="P7" i="12" s="1"/>
  <c r="E6" i="12"/>
  <c r="P6" i="12" s="1"/>
  <c r="G45" i="15"/>
  <c r="H45" i="15" s="1"/>
  <c r="I45" i="15" s="1"/>
  <c r="J45" i="15" s="1"/>
  <c r="K45" i="15" s="1"/>
  <c r="L45" i="15" s="1"/>
  <c r="AD44" i="15"/>
  <c r="AC44" i="15"/>
  <c r="AB44" i="15"/>
  <c r="AA44" i="15"/>
  <c r="Z44" i="15"/>
  <c r="Y44" i="15"/>
  <c r="X44" i="15"/>
  <c r="W44" i="15"/>
  <c r="V44" i="15"/>
  <c r="U44" i="15"/>
  <c r="T44" i="15"/>
  <c r="S44" i="15"/>
  <c r="R44" i="15"/>
  <c r="Q44" i="15"/>
  <c r="P44" i="15"/>
  <c r="O44" i="15"/>
  <c r="N44" i="15"/>
  <c r="M44" i="15"/>
  <c r="L44" i="15"/>
  <c r="K44" i="15"/>
  <c r="J44" i="15"/>
  <c r="I44" i="15"/>
  <c r="H44" i="15"/>
  <c r="G44" i="15"/>
  <c r="F28" i="15"/>
  <c r="D28" i="15"/>
  <c r="F24" i="15"/>
  <c r="G24" i="15" s="1"/>
  <c r="H24" i="15" s="1"/>
  <c r="I24" i="15" s="1"/>
  <c r="J24" i="15" s="1"/>
  <c r="K24" i="15" s="1"/>
  <c r="L24" i="15" s="1"/>
  <c r="M24" i="15" s="1"/>
  <c r="N24" i="15" s="1"/>
  <c r="O24" i="15" s="1"/>
  <c r="P24" i="15" s="1"/>
  <c r="Q24" i="15" s="1"/>
  <c r="R24" i="15" s="1"/>
  <c r="S24" i="15" s="1"/>
  <c r="T24" i="15" s="1"/>
  <c r="U24" i="15" s="1"/>
  <c r="V24" i="15" s="1"/>
  <c r="W24" i="15" s="1"/>
  <c r="X24" i="15" s="1"/>
  <c r="Y24" i="15" s="1"/>
  <c r="Z24" i="15" s="1"/>
  <c r="AA24" i="15" s="1"/>
  <c r="AB24" i="15" s="1"/>
  <c r="AC24" i="15" s="1"/>
  <c r="AD24" i="15" s="1"/>
  <c r="B15" i="15"/>
  <c r="B16" i="15" s="1"/>
  <c r="B13" i="15"/>
  <c r="D190" i="12"/>
  <c r="D188" i="12"/>
  <c r="M95" i="12"/>
  <c r="M94" i="12"/>
  <c r="I7" i="12" l="1"/>
  <c r="J7" i="12" s="1"/>
  <c r="I11" i="12"/>
  <c r="I9" i="12"/>
  <c r="P94" i="12"/>
  <c r="L78" i="12"/>
  <c r="L84" i="12"/>
  <c r="I8" i="12"/>
  <c r="J8" i="12" s="1"/>
  <c r="J9" i="12" s="1"/>
  <c r="J10" i="12" s="1"/>
  <c r="J11" i="12" s="1"/>
  <c r="L82" i="12"/>
  <c r="O79" i="12"/>
  <c r="I10" i="12"/>
  <c r="O78" i="12"/>
  <c r="D66" i="15"/>
  <c r="I66" i="15" s="1"/>
  <c r="D186" i="12"/>
  <c r="M98" i="12"/>
  <c r="O80" i="12"/>
  <c r="J52" i="15"/>
  <c r="I52" i="15"/>
  <c r="L52" i="15"/>
  <c r="H52" i="15"/>
  <c r="F52" i="15"/>
  <c r="K52" i="15"/>
  <c r="G52" i="15"/>
  <c r="G28" i="15"/>
  <c r="H28" i="15" s="1"/>
  <c r="I28" i="15" s="1"/>
  <c r="J28" i="15" s="1"/>
  <c r="K28" i="15" s="1"/>
  <c r="L28" i="15" s="1"/>
  <c r="M28" i="15" s="1"/>
  <c r="N28" i="15" s="1"/>
  <c r="O28" i="15" s="1"/>
  <c r="P28" i="15" s="1"/>
  <c r="Q28" i="15" s="1"/>
  <c r="R28" i="15" s="1"/>
  <c r="S28" i="15" s="1"/>
  <c r="T28" i="15" s="1"/>
  <c r="U28" i="15" s="1"/>
  <c r="V28" i="15" s="1"/>
  <c r="W28" i="15" s="1"/>
  <c r="X28" i="15" s="1"/>
  <c r="Y28" i="15" s="1"/>
  <c r="Z28" i="15" s="1"/>
  <c r="AA28" i="15" s="1"/>
  <c r="AB28" i="15" s="1"/>
  <c r="AC28" i="15" s="1"/>
  <c r="AD28" i="15" s="1"/>
  <c r="M45" i="15"/>
  <c r="J66" i="15" l="1"/>
  <c r="O66" i="15"/>
  <c r="X66" i="15"/>
  <c r="M66" i="15"/>
  <c r="V66" i="15"/>
  <c r="AA66" i="15"/>
  <c r="H66" i="15"/>
  <c r="AC66" i="15"/>
  <c r="Z66" i="15"/>
  <c r="F66" i="15"/>
  <c r="K66" i="15"/>
  <c r="T66" i="15"/>
  <c r="B8" i="15"/>
  <c r="B10" i="15" s="1"/>
  <c r="Q66" i="15"/>
  <c r="N66" i="15"/>
  <c r="AD66" i="15"/>
  <c r="S66" i="15"/>
  <c r="L66" i="15"/>
  <c r="AB66" i="15"/>
  <c r="Y66" i="15"/>
  <c r="U66" i="15"/>
  <c r="R66" i="15"/>
  <c r="G66" i="15"/>
  <c r="W66" i="15"/>
  <c r="P66" i="15"/>
  <c r="N45" i="15"/>
  <c r="O45" i="15" s="1"/>
  <c r="M52" i="15"/>
  <c r="I59" i="15" l="1"/>
  <c r="M59" i="15"/>
  <c r="Q59" i="15"/>
  <c r="U59" i="15"/>
  <c r="Y59" i="15"/>
  <c r="AC59" i="15"/>
  <c r="L59" i="15"/>
  <c r="X59" i="15"/>
  <c r="J59" i="15"/>
  <c r="N59" i="15"/>
  <c r="R59" i="15"/>
  <c r="V59" i="15"/>
  <c r="Z59" i="15"/>
  <c r="AD59" i="15"/>
  <c r="P59" i="15"/>
  <c r="T59" i="15"/>
  <c r="G59" i="15"/>
  <c r="K59" i="15"/>
  <c r="O59" i="15"/>
  <c r="S59" i="15"/>
  <c r="W59" i="15"/>
  <c r="AA59" i="15"/>
  <c r="F59" i="15"/>
  <c r="H59" i="15"/>
  <c r="AB59" i="15"/>
  <c r="H3" i="15"/>
  <c r="H58" i="15" s="1"/>
  <c r="AE66" i="15"/>
  <c r="O52" i="15"/>
  <c r="N52" i="15"/>
  <c r="E68" i="15"/>
  <c r="P45" i="15"/>
  <c r="E56" i="12"/>
  <c r="D145" i="12" s="1"/>
  <c r="D170" i="12" s="1"/>
  <c r="D184" i="12" s="1"/>
  <c r="K58" i="15" l="1"/>
  <c r="J58" i="15"/>
  <c r="F58" i="15"/>
  <c r="G58" i="15"/>
  <c r="S58" i="15"/>
  <c r="R58" i="15"/>
  <c r="O58" i="15"/>
  <c r="N58" i="15"/>
  <c r="Q58" i="15"/>
  <c r="M58" i="15"/>
  <c r="I58" i="15"/>
  <c r="T58" i="15"/>
  <c r="P58" i="15"/>
  <c r="L58" i="15"/>
  <c r="P52" i="15"/>
  <c r="D192" i="12"/>
  <c r="D195" i="12" s="1"/>
  <c r="Q45" i="15"/>
  <c r="B70" i="15"/>
  <c r="E70" i="15" s="1"/>
  <c r="F80" i="12"/>
  <c r="F79" i="12"/>
  <c r="J67" i="12"/>
  <c r="S65" i="12"/>
  <c r="D72" i="12" s="1"/>
  <c r="Q52" i="15" l="1"/>
  <c r="F94" i="12"/>
  <c r="D165" i="12"/>
  <c r="F93" i="12"/>
  <c r="D164" i="12"/>
  <c r="R45" i="15"/>
  <c r="F82" i="12"/>
  <c r="F86" i="12" s="1"/>
  <c r="R52" i="15" l="1"/>
  <c r="F85" i="12"/>
  <c r="S45" i="15"/>
  <c r="K83" i="12"/>
  <c r="N80" i="12" s="1"/>
  <c r="K79" i="12"/>
  <c r="N79" i="12" l="1"/>
  <c r="M55" i="12" s="1"/>
  <c r="L143" i="12" s="1"/>
  <c r="S52" i="15"/>
  <c r="Q95" i="12"/>
  <c r="Q94" i="12"/>
  <c r="T45" i="15"/>
  <c r="Q98" i="12" l="1"/>
  <c r="M65" i="12" s="1"/>
  <c r="T52" i="15"/>
  <c r="U45" i="15"/>
  <c r="K32" i="15" l="1"/>
  <c r="K40" i="15" s="1"/>
  <c r="S32" i="15"/>
  <c r="S40" i="15" s="1"/>
  <c r="H32" i="15"/>
  <c r="H40" i="15" s="1"/>
  <c r="Z32" i="15"/>
  <c r="Z40" i="15" s="1"/>
  <c r="R32" i="15"/>
  <c r="R40" i="15" s="1"/>
  <c r="W32" i="15"/>
  <c r="W40" i="15" s="1"/>
  <c r="L32" i="15"/>
  <c r="L40" i="15" s="1"/>
  <c r="I32" i="15"/>
  <c r="I40" i="15" s="1"/>
  <c r="J32" i="15"/>
  <c r="J40" i="15" s="1"/>
  <c r="X32" i="15"/>
  <c r="X40" i="15" s="1"/>
  <c r="U32" i="15"/>
  <c r="U40" i="15" s="1"/>
  <c r="G32" i="15"/>
  <c r="G40" i="15" s="1"/>
  <c r="AB32" i="15"/>
  <c r="AB40" i="15" s="1"/>
  <c r="Y32" i="15"/>
  <c r="Y40" i="15" s="1"/>
  <c r="N32" i="15"/>
  <c r="N40" i="15" s="1"/>
  <c r="O32" i="15"/>
  <c r="O40" i="15" s="1"/>
  <c r="P32" i="15"/>
  <c r="P40" i="15" s="1"/>
  <c r="AC32" i="15"/>
  <c r="AC40" i="15" s="1"/>
  <c r="T32" i="15"/>
  <c r="T40" i="15" s="1"/>
  <c r="V32" i="15"/>
  <c r="V40" i="15" s="1"/>
  <c r="AD32" i="15"/>
  <c r="AD40" i="15" s="1"/>
  <c r="M32" i="15"/>
  <c r="M40" i="15" s="1"/>
  <c r="AA32" i="15"/>
  <c r="AA40" i="15" s="1"/>
  <c r="Q32" i="15"/>
  <c r="Q40" i="15" s="1"/>
  <c r="F32" i="15"/>
  <c r="F40" i="15" s="1"/>
  <c r="K143" i="12"/>
  <c r="D200" i="12" s="1"/>
  <c r="I79" i="12"/>
  <c r="U52" i="15"/>
  <c r="E58" i="12"/>
  <c r="P57" i="12" s="1"/>
  <c r="F26" i="15"/>
  <c r="C50" i="15" s="1"/>
  <c r="F50" i="15" s="1"/>
  <c r="D199" i="12"/>
  <c r="V45" i="15"/>
  <c r="D157" i="12" l="1"/>
  <c r="D155" i="12"/>
  <c r="P50" i="15"/>
  <c r="G50" i="15"/>
  <c r="O36" i="15"/>
  <c r="I50" i="15"/>
  <c r="S50" i="15"/>
  <c r="N50" i="15"/>
  <c r="J50" i="15"/>
  <c r="H50" i="15"/>
  <c r="U50" i="15"/>
  <c r="R50" i="15"/>
  <c r="O50" i="15"/>
  <c r="L50" i="15"/>
  <c r="C51" i="15"/>
  <c r="V51" i="15" s="1"/>
  <c r="T50" i="15"/>
  <c r="Q50" i="15"/>
  <c r="M50" i="15"/>
  <c r="K50" i="15"/>
  <c r="D142" i="12"/>
  <c r="D149" i="12" s="1"/>
  <c r="T36" i="15"/>
  <c r="AA36" i="15"/>
  <c r="I101" i="12"/>
  <c r="I102" i="12" s="1"/>
  <c r="K36" i="15"/>
  <c r="Q36" i="15"/>
  <c r="AD36" i="15"/>
  <c r="AC36" i="15"/>
  <c r="N36" i="15"/>
  <c r="AB36" i="15"/>
  <c r="L36" i="15"/>
  <c r="R36" i="15"/>
  <c r="I36" i="15"/>
  <c r="S36" i="15"/>
  <c r="Z36" i="15"/>
  <c r="M36" i="15"/>
  <c r="P36" i="15"/>
  <c r="V36" i="15"/>
  <c r="U36" i="15"/>
  <c r="W36" i="15"/>
  <c r="G36" i="15"/>
  <c r="I80" i="12"/>
  <c r="Y36" i="15"/>
  <c r="X36" i="15"/>
  <c r="H36" i="15"/>
  <c r="J36" i="15"/>
  <c r="F36" i="15"/>
  <c r="P61" i="12"/>
  <c r="D143" i="12" s="1"/>
  <c r="D151" i="12" s="1"/>
  <c r="H67" i="12"/>
  <c r="D144" i="12" s="1"/>
  <c r="D153" i="12" s="1"/>
  <c r="V52" i="15"/>
  <c r="V50" i="15"/>
  <c r="G26" i="15"/>
  <c r="F30" i="15"/>
  <c r="D201" i="12"/>
  <c r="D159" i="12"/>
  <c r="C48" i="15"/>
  <c r="I82" i="12"/>
  <c r="D202" i="12"/>
  <c r="W45" i="15"/>
  <c r="G51" i="15" l="1"/>
  <c r="H51" i="15"/>
  <c r="J51" i="15"/>
  <c r="I51" i="15"/>
  <c r="L51" i="15"/>
  <c r="F51" i="15"/>
  <c r="K51" i="15"/>
  <c r="M51" i="15"/>
  <c r="N51" i="15"/>
  <c r="O51" i="15"/>
  <c r="P51" i="15"/>
  <c r="Q51" i="15"/>
  <c r="R51" i="15"/>
  <c r="S51" i="15"/>
  <c r="T51" i="15"/>
  <c r="U51" i="15"/>
  <c r="D167" i="12"/>
  <c r="F87" i="12"/>
  <c r="F91" i="12" s="1"/>
  <c r="R59" i="12"/>
  <c r="F96" i="12" s="1"/>
  <c r="I48" i="15"/>
  <c r="I54" i="15" s="1"/>
  <c r="M48" i="15"/>
  <c r="Q48" i="15"/>
  <c r="U48" i="15"/>
  <c r="J48" i="15"/>
  <c r="N48" i="15"/>
  <c r="N54" i="15" s="1"/>
  <c r="R48" i="15"/>
  <c r="V48" i="15"/>
  <c r="V54" i="15" s="1"/>
  <c r="G48" i="15"/>
  <c r="K48" i="15"/>
  <c r="O48" i="15"/>
  <c r="O54" i="15" s="1"/>
  <c r="S48" i="15"/>
  <c r="W48" i="15"/>
  <c r="F48" i="15"/>
  <c r="H48" i="15"/>
  <c r="L48" i="15"/>
  <c r="L54" i="15" s="1"/>
  <c r="P48" i="15"/>
  <c r="T48" i="15"/>
  <c r="W51" i="15"/>
  <c r="W50" i="15"/>
  <c r="W52" i="15"/>
  <c r="H26" i="15"/>
  <c r="G30" i="15"/>
  <c r="D210" i="12"/>
  <c r="D212" i="12" s="1"/>
  <c r="X45" i="15"/>
  <c r="X48" i="15" s="1"/>
  <c r="S54" i="15" l="1"/>
  <c r="H54" i="15"/>
  <c r="P54" i="15"/>
  <c r="G54" i="15"/>
  <c r="J54" i="15"/>
  <c r="R54" i="15"/>
  <c r="U54" i="15"/>
  <c r="Q54" i="15"/>
  <c r="T54" i="15"/>
  <c r="K54" i="15"/>
  <c r="M54" i="15"/>
  <c r="R38" i="15"/>
  <c r="T38" i="15"/>
  <c r="S38" i="15"/>
  <c r="P38" i="15"/>
  <c r="Q38" i="15"/>
  <c r="F38" i="15"/>
  <c r="F46" i="15" s="1"/>
  <c r="W54" i="15"/>
  <c r="F54" i="15"/>
  <c r="X50" i="15"/>
  <c r="X51" i="15"/>
  <c r="X52" i="15"/>
  <c r="H38" i="15"/>
  <c r="L38" i="15"/>
  <c r="K38" i="15"/>
  <c r="I38" i="15"/>
  <c r="M38" i="15"/>
  <c r="J38" i="15"/>
  <c r="N38" i="15"/>
  <c r="G38" i="15"/>
  <c r="O38" i="15"/>
  <c r="H30" i="15"/>
  <c r="I26" i="15"/>
  <c r="Y45" i="15"/>
  <c r="Y48" i="15" s="1"/>
  <c r="H46" i="15" l="1"/>
  <c r="H56" i="15" s="1"/>
  <c r="H62" i="15" s="1"/>
  <c r="G46" i="15"/>
  <c r="G56" i="15" s="1"/>
  <c r="G62" i="15" s="1"/>
  <c r="F56" i="15"/>
  <c r="F62" i="15" s="1"/>
  <c r="X54" i="15"/>
  <c r="Y52" i="15"/>
  <c r="Y51" i="15"/>
  <c r="Y50" i="15"/>
  <c r="J26" i="15"/>
  <c r="I30" i="15"/>
  <c r="I46" i="15" s="1"/>
  <c r="Z45" i="15"/>
  <c r="Z48" i="15" s="1"/>
  <c r="G65" i="15" l="1"/>
  <c r="G64" i="15"/>
  <c r="F75" i="15"/>
  <c r="Y54" i="15"/>
  <c r="Z51" i="15"/>
  <c r="Z50" i="15"/>
  <c r="Z52" i="15"/>
  <c r="I56" i="15"/>
  <c r="I62" i="15" s="1"/>
  <c r="F65" i="15"/>
  <c r="F64" i="15"/>
  <c r="H65" i="15"/>
  <c r="H64" i="15"/>
  <c r="J30" i="15"/>
  <c r="J46" i="15" s="1"/>
  <c r="K26" i="15"/>
  <c r="AA45" i="15"/>
  <c r="AA48" i="15" s="1"/>
  <c r="F68" i="15" l="1"/>
  <c r="G68" i="15"/>
  <c r="Z54" i="15"/>
  <c r="AA50" i="15"/>
  <c r="AA51" i="15"/>
  <c r="AA52" i="15"/>
  <c r="J56" i="15"/>
  <c r="J62" i="15" s="1"/>
  <c r="H68" i="15"/>
  <c r="F70" i="15"/>
  <c r="I64" i="15"/>
  <c r="I65" i="15"/>
  <c r="K30" i="15"/>
  <c r="K46" i="15" s="1"/>
  <c r="L26" i="15"/>
  <c r="AB45" i="15"/>
  <c r="AB48" i="15" s="1"/>
  <c r="AA54" i="15" l="1"/>
  <c r="AB51" i="15"/>
  <c r="AB50" i="15"/>
  <c r="AB52" i="15"/>
  <c r="I68" i="15"/>
  <c r="K56" i="15"/>
  <c r="K62" i="15" s="1"/>
  <c r="G70" i="15"/>
  <c r="H70" i="15" s="1"/>
  <c r="F77" i="15"/>
  <c r="J64" i="15"/>
  <c r="J65" i="15"/>
  <c r="L30" i="15"/>
  <c r="L46" i="15" s="1"/>
  <c r="M26" i="15"/>
  <c r="AC45" i="15"/>
  <c r="AC48" i="15" s="1"/>
  <c r="AB54" i="15" l="1"/>
  <c r="AC52" i="15"/>
  <c r="AC50" i="15"/>
  <c r="AC51" i="15"/>
  <c r="J68" i="15"/>
  <c r="I70" i="15"/>
  <c r="L56" i="15"/>
  <c r="L62" i="15" s="1"/>
  <c r="N26" i="15"/>
  <c r="M30" i="15"/>
  <c r="M46" i="15" s="1"/>
  <c r="K64" i="15"/>
  <c r="K65" i="15"/>
  <c r="AD45" i="15"/>
  <c r="AD48" i="15" s="1"/>
  <c r="AE48" i="15" s="1"/>
  <c r="AC54" i="15" l="1"/>
  <c r="AD50" i="15"/>
  <c r="AD51" i="15"/>
  <c r="AE51" i="15" s="1"/>
  <c r="AD52" i="15"/>
  <c r="AE52" i="15" s="1"/>
  <c r="J70" i="15"/>
  <c r="K68" i="15"/>
  <c r="M56" i="15"/>
  <c r="M62" i="15" s="1"/>
  <c r="L65" i="15"/>
  <c r="L64" i="15"/>
  <c r="O26" i="15"/>
  <c r="N30" i="15"/>
  <c r="N46" i="15" s="1"/>
  <c r="AD54" i="15" l="1"/>
  <c r="K70" i="15"/>
  <c r="N56" i="15"/>
  <c r="N62" i="15" s="1"/>
  <c r="L68" i="15"/>
  <c r="P26" i="15"/>
  <c r="O30" i="15"/>
  <c r="O46" i="15" s="1"/>
  <c r="M64" i="15"/>
  <c r="M65" i="15"/>
  <c r="L70" i="15" l="1"/>
  <c r="M68" i="15"/>
  <c r="O56" i="15"/>
  <c r="O62" i="15" s="1"/>
  <c r="P30" i="15"/>
  <c r="P46" i="15" s="1"/>
  <c r="Q26" i="15"/>
  <c r="N64" i="15"/>
  <c r="N65" i="15"/>
  <c r="M70" i="15" l="1"/>
  <c r="P56" i="15"/>
  <c r="P62" i="15" s="1"/>
  <c r="R26" i="15"/>
  <c r="Q30" i="15"/>
  <c r="Q46" i="15" s="1"/>
  <c r="N68" i="15"/>
  <c r="O64" i="15"/>
  <c r="O65" i="15"/>
  <c r="N70" i="15" l="1"/>
  <c r="Q56" i="15"/>
  <c r="Q62" i="15" s="1"/>
  <c r="S26" i="15"/>
  <c r="R30" i="15"/>
  <c r="R46" i="15" s="1"/>
  <c r="O68" i="15"/>
  <c r="O70" i="15" s="1"/>
  <c r="P64" i="15"/>
  <c r="P65" i="15"/>
  <c r="R56" i="15" l="1"/>
  <c r="R62" i="15" s="1"/>
  <c r="P68" i="15"/>
  <c r="P70" i="15" s="1"/>
  <c r="Q65" i="15"/>
  <c r="Q64" i="15"/>
  <c r="S30" i="15"/>
  <c r="S46" i="15" s="1"/>
  <c r="T26" i="15"/>
  <c r="S56" i="15" l="1"/>
  <c r="S62" i="15" s="1"/>
  <c r="Q68" i="15"/>
  <c r="Q70" i="15" s="1"/>
  <c r="R64" i="15"/>
  <c r="R65" i="15"/>
  <c r="T30" i="15"/>
  <c r="T46" i="15" s="1"/>
  <c r="U26" i="15"/>
  <c r="T56" i="15" l="1"/>
  <c r="T62" i="15" s="1"/>
  <c r="R68" i="15"/>
  <c r="R70" i="15" s="1"/>
  <c r="U30" i="15"/>
  <c r="U46" i="15" s="1"/>
  <c r="V26" i="15"/>
  <c r="S65" i="15"/>
  <c r="S64" i="15"/>
  <c r="U56" i="15" l="1"/>
  <c r="U62" i="15" s="1"/>
  <c r="S68" i="15"/>
  <c r="W26" i="15"/>
  <c r="V30" i="15"/>
  <c r="V46" i="15" s="1"/>
  <c r="T64" i="15"/>
  <c r="T65" i="15"/>
  <c r="T68" i="15" l="1"/>
  <c r="U64" i="15"/>
  <c r="U65" i="15"/>
  <c r="V56" i="15"/>
  <c r="V62" i="15" s="1"/>
  <c r="S70" i="15"/>
  <c r="X26" i="15"/>
  <c r="W30" i="15"/>
  <c r="W46" i="15" s="1"/>
  <c r="T70" i="15" l="1"/>
  <c r="U68" i="15"/>
  <c r="V65" i="15"/>
  <c r="V64" i="15"/>
  <c r="W56" i="15"/>
  <c r="W62" i="15" s="1"/>
  <c r="X30" i="15"/>
  <c r="X46" i="15" s="1"/>
  <c r="Y26" i="15"/>
  <c r="U70" i="15" l="1"/>
  <c r="W64" i="15"/>
  <c r="W65" i="15"/>
  <c r="X56" i="15"/>
  <c r="X62" i="15" s="1"/>
  <c r="X64" i="15" s="1"/>
  <c r="V68" i="15"/>
  <c r="Z26" i="15"/>
  <c r="Y30" i="15"/>
  <c r="Y46" i="15" s="1"/>
  <c r="V70" i="15" l="1"/>
  <c r="W68" i="15"/>
  <c r="X65" i="15"/>
  <c r="X68" i="15" s="1"/>
  <c r="Y56" i="15"/>
  <c r="Y62" i="15" s="1"/>
  <c r="AA26" i="15"/>
  <c r="Z30" i="15"/>
  <c r="Z46" i="15" s="1"/>
  <c r="AE54" i="15"/>
  <c r="AE50" i="15"/>
  <c r="W70" i="15" l="1"/>
  <c r="X70" i="15" s="1"/>
  <c r="Y65" i="15"/>
  <c r="Y64" i="15"/>
  <c r="AA30" i="15"/>
  <c r="AA46" i="15" s="1"/>
  <c r="AB26" i="15"/>
  <c r="Z56" i="15" l="1"/>
  <c r="Z62" i="15" s="1"/>
  <c r="Y68" i="15"/>
  <c r="AC26" i="15"/>
  <c r="AB30" i="15"/>
  <c r="AB46" i="15" s="1"/>
  <c r="AA56" i="15"/>
  <c r="AA62" i="15" s="1"/>
  <c r="Y70" i="15" l="1"/>
  <c r="Z64" i="15"/>
  <c r="Z65" i="15"/>
  <c r="AB56" i="15"/>
  <c r="AB62" i="15" s="1"/>
  <c r="AB64" i="15" s="1"/>
  <c r="AA64" i="15"/>
  <c r="AA65" i="15"/>
  <c r="AD26" i="15"/>
  <c r="AD30" i="15" s="1"/>
  <c r="AD46" i="15" s="1"/>
  <c r="AC30" i="15"/>
  <c r="AC46" i="15" s="1"/>
  <c r="AA68" i="15" l="1"/>
  <c r="AD56" i="15"/>
  <c r="AD62" i="15" s="1"/>
  <c r="AB65" i="15"/>
  <c r="AB68" i="15" s="1"/>
  <c r="Z68" i="15"/>
  <c r="Z70" i="15" s="1"/>
  <c r="AE30" i="15"/>
  <c r="AE26" i="15"/>
  <c r="AA70" i="15" l="1"/>
  <c r="AB70" i="15" s="1"/>
  <c r="AE46" i="15"/>
  <c r="AD65" i="15"/>
  <c r="AD64" i="15"/>
  <c r="AC56" i="15"/>
  <c r="AD68" i="15" l="1"/>
  <c r="AE56" i="15"/>
  <c r="AC62" i="15"/>
  <c r="AE62" i="15" l="1"/>
  <c r="AC65" i="15"/>
  <c r="AE65" i="15" s="1"/>
  <c r="AC64" i="15"/>
  <c r="AE64" i="15" s="1"/>
  <c r="AC68" i="15" l="1"/>
  <c r="AC70" i="15" s="1"/>
  <c r="AD70" i="15" s="1"/>
  <c r="F79" i="15" s="1"/>
  <c r="AE68" i="15" l="1"/>
  <c r="F73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magni</author>
  </authors>
  <commentList>
    <comment ref="A14" authorId="0" shapeId="0" xr:uid="{70E0A9A6-767B-48A6-84A2-CDC65BA82348}">
      <text>
        <r>
          <rPr>
            <b/>
            <sz val="9"/>
            <color indexed="81"/>
            <rFont val="Tahoma"/>
            <family val="2"/>
          </rPr>
          <t>magni:</t>
        </r>
        <r>
          <rPr>
            <sz val="9"/>
            <color indexed="81"/>
            <rFont val="Tahoma"/>
            <family val="2"/>
          </rPr>
          <t xml:space="preserve">
tasso di attualizzazione. Nel nostro foglio di calcolo è al 12%
</t>
        </r>
      </text>
    </comment>
  </commentList>
</comments>
</file>

<file path=xl/sharedStrings.xml><?xml version="1.0" encoding="utf-8"?>
<sst xmlns="http://schemas.openxmlformats.org/spreadsheetml/2006/main" count="355" uniqueCount="246">
  <si>
    <t>ηglobale</t>
  </si>
  <si>
    <t>ηrif</t>
  </si>
  <si>
    <t>PES</t>
  </si>
  <si>
    <t>perdite di rete</t>
  </si>
  <si>
    <t>Ceff</t>
  </si>
  <si>
    <t>Utenza in area pedemontana</t>
  </si>
  <si>
    <t>Volumetria
[m³]</t>
  </si>
  <si>
    <t>Potenza di picco
[MW]</t>
  </si>
  <si>
    <t>Potenza specifica
[W/m³]</t>
  </si>
  <si>
    <t>Ore
[h]</t>
  </si>
  <si>
    <t>Fabbisogno Utenza in area pedemontana</t>
  </si>
  <si>
    <t>Intervallo cumulata
[h]</t>
  </si>
  <si>
    <t>Energia erogata nell'intervallo
[MWh]</t>
  </si>
  <si>
    <t>Fabbisogno cumulato
[MWh]</t>
  </si>
  <si>
    <t>IC.esercitazione4.TLR_ORC_CAR.xlsx</t>
  </si>
  <si>
    <t>Tecnologia</t>
  </si>
  <si>
    <t>Cicli Rankine a fluido organico</t>
  </si>
  <si>
    <t>La tipologia impiantistica (tecnologia) definisce il rendimento globale di riferimento con cui confrontarsi (75% - 80%) per il rispetto dei requisiti CAR</t>
  </si>
  <si>
    <t>Tipo di combustibile</t>
  </si>
  <si>
    <t>CHPEn</t>
  </si>
  <si>
    <t xml:space="preserve">Altri tipi di biomassa solida compresi tutti i tipi di legno non inclusi in S4 e liquame nero e marrone.
</t>
  </si>
  <si>
    <t>CHPHn</t>
  </si>
  <si>
    <t>Fluido</t>
  </si>
  <si>
    <t>Acqua calda</t>
  </si>
  <si>
    <t>Il calcolo del rendimento di confronto per la produzione separata di energia elettrica e calore varia in funzione del tipo di combustibile</t>
  </si>
  <si>
    <r>
      <t>η</t>
    </r>
    <r>
      <rPr>
        <b/>
        <vertAlign val="subscript"/>
        <sz val="10"/>
        <color theme="1"/>
        <rFont val="Calibri Light"/>
        <family val="2"/>
        <scheme val="major"/>
      </rPr>
      <t>globale</t>
    </r>
  </si>
  <si>
    <r>
      <t>η</t>
    </r>
    <r>
      <rPr>
        <b/>
        <vertAlign val="subscript"/>
        <sz val="10"/>
        <color theme="1"/>
        <rFont val="Calibri Light"/>
        <family val="2"/>
        <scheme val="major"/>
      </rPr>
      <t>rif</t>
    </r>
  </si>
  <si>
    <t>&gt;</t>
  </si>
  <si>
    <r>
      <rPr>
        <b/>
        <i/>
        <sz val="10"/>
        <color theme="1"/>
        <rFont val="Calibri Light"/>
        <family val="2"/>
        <scheme val="major"/>
      </rPr>
      <t>REF Eη</t>
    </r>
    <r>
      <rPr>
        <sz val="10"/>
        <color theme="1"/>
        <rFont val="Calibri Light"/>
        <family val="2"/>
        <scheme val="major"/>
      </rPr>
      <t xml:space="preserve"> (η</t>
    </r>
    <r>
      <rPr>
        <vertAlign val="subscript"/>
        <sz val="10"/>
        <color theme="1"/>
        <rFont val="Calibri Light"/>
        <family val="2"/>
        <scheme val="major"/>
      </rPr>
      <t>el</t>
    </r>
    <r>
      <rPr>
        <sz val="10"/>
        <color theme="1"/>
        <rFont val="Calibri Light"/>
        <family val="2"/>
        <scheme val="major"/>
      </rPr>
      <t xml:space="preserve"> produzione separata di energia elettrica)*</t>
    </r>
  </si>
  <si>
    <r>
      <rPr>
        <b/>
        <i/>
        <sz val="10"/>
        <color theme="1"/>
        <rFont val="Calibri Light"/>
        <family val="2"/>
        <scheme val="major"/>
      </rPr>
      <t>REF Hη</t>
    </r>
    <r>
      <rPr>
        <sz val="10"/>
        <color theme="1"/>
        <rFont val="Calibri Light"/>
        <family val="2"/>
        <scheme val="major"/>
      </rPr>
      <t xml:space="preserve"> (η</t>
    </r>
    <r>
      <rPr>
        <vertAlign val="subscript"/>
        <sz val="10"/>
        <color theme="1"/>
        <rFont val="Calibri Light"/>
        <family val="2"/>
        <scheme val="major"/>
      </rPr>
      <t>th</t>
    </r>
    <r>
      <rPr>
        <sz val="10"/>
        <color theme="1"/>
        <rFont val="Calibri Light"/>
        <family val="2"/>
        <scheme val="major"/>
      </rPr>
      <t xml:space="preserve"> produzione separata di calore)</t>
    </r>
  </si>
  <si>
    <t>Valori di ηgl,rif</t>
  </si>
  <si>
    <t>Valori di rendimento di riferimento armonizzati per la produzione separata di energia elettrica</t>
  </si>
  <si>
    <t>Valori di rendimento di riferimento armonizzati per la produzione separata di calore</t>
  </si>
  <si>
    <t>Categoria</t>
  </si>
  <si>
    <t>Anno di costruzione</t>
  </si>
  <si>
    <t>Antecedente al 2016</t>
  </si>
  <si>
    <t>Dal 2016</t>
  </si>
  <si>
    <t>Turbina a vapore a contropressione</t>
  </si>
  <si>
    <t>Antecedente al 2012</t>
  </si>
  <si>
    <t>2012-2015</t>
  </si>
  <si>
    <t>Vapore (*)</t>
  </si>
  <si>
    <t>Utilizzo diretto dei gas di scarico (**)</t>
  </si>
  <si>
    <t>Turbina a gas con recupero di calore</t>
  </si>
  <si>
    <t>Solidi</t>
  </si>
  <si>
    <t>S1</t>
  </si>
  <si>
    <t>Carbon fossile compresa antracite, carbone bituminoso, carbone sub- bituminoso, coke, semicoke, coke di petrolio</t>
  </si>
  <si>
    <t>Motore a combustione interna</t>
  </si>
  <si>
    <t>S2</t>
  </si>
  <si>
    <t xml:space="preserve">Lignite, mattonelle di lignite, olio di scisto
</t>
  </si>
  <si>
    <t>Microturbine</t>
  </si>
  <si>
    <t>S3</t>
  </si>
  <si>
    <t>Torba, mattonelle di torba</t>
  </si>
  <si>
    <t>Motori Stirling</t>
  </si>
  <si>
    <t>S4</t>
  </si>
  <si>
    <t xml:space="preserve">Biomassa secca fra cui legna e altri tipi di biomassa solida compresi pellet e mattonelle di legno, trucioli di legno essiccati, scarti in legno puliti e asciutti, gusci e noccioli d'oliva e altri noccioli
</t>
  </si>
  <si>
    <t>Pile a combustibile</t>
  </si>
  <si>
    <t>S5</t>
  </si>
  <si>
    <t>Motori a vapore</t>
  </si>
  <si>
    <t>S6</t>
  </si>
  <si>
    <t>Rifiuti urbani e industriali (non rinnovabili) e rifiuti rinnovabili/biode­ gradabili</t>
  </si>
  <si>
    <t>Liquidi</t>
  </si>
  <si>
    <t>L7</t>
  </si>
  <si>
    <t>Olio combustibile pesante, gasolio, altri prodotti petroliferi</t>
  </si>
  <si>
    <t>Ogni altra tecnologia o combinazioni di tecnologie che non includono turbine a condensazione con estrazione di vapore</t>
  </si>
  <si>
    <t>L8</t>
  </si>
  <si>
    <t>Bioliquidi compresi biometanolo, bioetanolo, biobutanolo, biodiesel e altri bioliquidi</t>
  </si>
  <si>
    <t>Turbina a gas a ciclo combinato con recupero di calore</t>
  </si>
  <si>
    <t>L9</t>
  </si>
  <si>
    <t>Liquidi residui, compresi rifiuti biodegradabili e non rinnovabili (in­ clusi sego, grasso e trebbie)</t>
  </si>
  <si>
    <t>Turbina a condensazione con estrazione di vapore</t>
  </si>
  <si>
    <t>Gassosi</t>
  </si>
  <si>
    <t>G10</t>
  </si>
  <si>
    <t>Gas naturale, GPL, GNL e biometano</t>
  </si>
  <si>
    <t>Ogni altra tecnologia o combinazioni di tecnologie che includono turbine a condensazione con estrazione di vapore</t>
  </si>
  <si>
    <t>G11</t>
  </si>
  <si>
    <t>Gas di raffineria, idrogeno e gas di sintesi</t>
  </si>
  <si>
    <t>G12</t>
  </si>
  <si>
    <t>Biogas da digestione anaerobica, gas da impianti di trattamento di ac­ que reflue e gas di discarica</t>
  </si>
  <si>
    <t>G13</t>
  </si>
  <si>
    <t>Gas di cokeria, gas di altoforno, gas da estrazioni minerarie e altri gas di recupero (escluso il gas di raffineria)</t>
  </si>
  <si>
    <t>Altri</t>
  </si>
  <si>
    <t>O14</t>
  </si>
  <si>
    <t xml:space="preserve">Calore di scarto (compresi i gas di scarico ad alta temperatura e i pro­ dotti da reazioni chimiche esotermiche)
</t>
  </si>
  <si>
    <t>O15</t>
  </si>
  <si>
    <t>Energia nucleare</t>
  </si>
  <si>
    <t>O16</t>
  </si>
  <si>
    <t>Energia solare termica</t>
  </si>
  <si>
    <t>O17</t>
  </si>
  <si>
    <t>Energia geotermica</t>
  </si>
  <si>
    <t>O18</t>
  </si>
  <si>
    <t>Altri combustibili non menzionati</t>
  </si>
  <si>
    <t>Fattore di disponibilità</t>
  </si>
  <si>
    <t>ηglobale &gt; ηrif</t>
  </si>
  <si>
    <r>
      <rPr>
        <sz val="10"/>
        <color theme="1"/>
        <rFont val="Calibri"/>
        <family val="2"/>
      </rPr>
      <t>Ḟ</t>
    </r>
    <r>
      <rPr>
        <sz val="10"/>
        <color theme="1"/>
        <rFont val="Calibri Light"/>
        <family val="2"/>
        <scheme val="major"/>
      </rPr>
      <t xml:space="preserve"> [kW]</t>
    </r>
  </si>
  <si>
    <t>Pe [kW]</t>
  </si>
  <si>
    <t>E [MWh]</t>
  </si>
  <si>
    <t>Q [kW]</t>
  </si>
  <si>
    <t>H [MWh]</t>
  </si>
  <si>
    <r>
      <rPr>
        <sz val="10"/>
        <color theme="1"/>
        <rFont val="Calibri"/>
        <family val="2"/>
      </rPr>
      <t xml:space="preserve">F </t>
    </r>
    <r>
      <rPr>
        <sz val="10"/>
        <color theme="1"/>
        <rFont val="Calibri Light"/>
        <family val="2"/>
        <scheme val="major"/>
      </rPr>
      <t>[MWh]</t>
    </r>
  </si>
  <si>
    <t xml:space="preserve">REF Eη </t>
  </si>
  <si>
    <t xml:space="preserve">REF Hη </t>
  </si>
  <si>
    <t>CALCOLO REQUISITI CAR</t>
  </si>
  <si>
    <t>MACCHINA VIRTUALE</t>
  </si>
  <si>
    <r>
      <t>η</t>
    </r>
    <r>
      <rPr>
        <vertAlign val="subscript"/>
        <sz val="10"/>
        <color theme="1"/>
        <rFont val="Calibri"/>
        <family val="2"/>
        <scheme val="minor"/>
      </rPr>
      <t>el</t>
    </r>
    <r>
      <rPr>
        <sz val="10"/>
        <color theme="1"/>
        <rFont val="Calibri"/>
        <family val="2"/>
        <scheme val="minor"/>
      </rPr>
      <t xml:space="preserve"> (non CHP)</t>
    </r>
  </si>
  <si>
    <t>Dati di Esercizio (energia)</t>
  </si>
  <si>
    <t>Dati di Targa (potenza)</t>
  </si>
  <si>
    <t>Echp [MWh]</t>
  </si>
  <si>
    <t>Hchp [MWh]</t>
  </si>
  <si>
    <r>
      <rPr>
        <sz val="10"/>
        <color theme="1"/>
        <rFont val="Calibri"/>
        <family val="2"/>
      </rPr>
      <t xml:space="preserve">Fchp </t>
    </r>
    <r>
      <rPr>
        <sz val="10"/>
        <color theme="1"/>
        <rFont val="Calibri Light"/>
        <family val="2"/>
        <scheme val="major"/>
      </rPr>
      <t>[MWh]</t>
    </r>
  </si>
  <si>
    <t>UNITA' NON CHP</t>
  </si>
  <si>
    <t>Enonchp [MWh]</t>
  </si>
  <si>
    <r>
      <rPr>
        <sz val="10"/>
        <color theme="1"/>
        <rFont val="Calibri"/>
        <family val="2"/>
      </rPr>
      <t xml:space="preserve">Fnonchp </t>
    </r>
    <r>
      <rPr>
        <sz val="10"/>
        <color theme="1"/>
        <rFont val="Calibri Light"/>
        <family val="2"/>
        <scheme val="major"/>
      </rPr>
      <t>[MWh]</t>
    </r>
  </si>
  <si>
    <t>UNITA' CHP</t>
  </si>
  <si>
    <t>ORC NOMINALE</t>
  </si>
  <si>
    <t>Carico Nominale
[MW]</t>
  </si>
  <si>
    <t>UTENZA TERMICA</t>
  </si>
  <si>
    <t>COPERTURA FABBISOGNO</t>
  </si>
  <si>
    <t>UNITA' ORC INSTALLATA A SERVIZIO DI UNA RETE DI TELERISCALDAMENTO SITUATA IN AMBITO PEDEMONTANO</t>
  </si>
  <si>
    <t>INIZIO DISSIPAZIONE</t>
  </si>
  <si>
    <t>Ora [h]</t>
  </si>
  <si>
    <t>Pth [MW]</t>
  </si>
  <si>
    <t>CAR</t>
  </si>
  <si>
    <t>% fabbisogno termico soddisfatto</t>
  </si>
  <si>
    <t>%</t>
  </si>
  <si>
    <t>_</t>
  </si>
  <si>
    <t>tot</t>
  </si>
  <si>
    <r>
      <t>η</t>
    </r>
    <r>
      <rPr>
        <b/>
        <vertAlign val="subscript"/>
        <sz val="10"/>
        <color theme="1"/>
        <rFont val="Calibri Light"/>
        <family val="2"/>
        <scheme val="major"/>
      </rPr>
      <t>tot</t>
    </r>
  </si>
  <si>
    <t>Calore all'utenza termica</t>
  </si>
  <si>
    <t>Hf [MWh]</t>
  </si>
  <si>
    <t>PIENO REGIME th</t>
  </si>
  <si>
    <t>PIENO REGIME el</t>
  </si>
  <si>
    <r>
      <t>η</t>
    </r>
    <r>
      <rPr>
        <vertAlign val="subscript"/>
        <sz val="10"/>
        <color theme="1"/>
        <rFont val="Calibri"/>
        <family val="2"/>
        <scheme val="minor"/>
      </rPr>
      <t>el</t>
    </r>
    <r>
      <rPr>
        <sz val="10"/>
        <color theme="1"/>
        <rFont val="Calibri"/>
        <family val="2"/>
        <scheme val="minor"/>
      </rPr>
      <t xml:space="preserve"> pot</t>
    </r>
  </si>
  <si>
    <r>
      <t>η</t>
    </r>
    <r>
      <rPr>
        <vertAlign val="subscript"/>
        <sz val="10"/>
        <color theme="1"/>
        <rFont val="Calibri"/>
        <family val="2"/>
      </rPr>
      <t>th</t>
    </r>
    <r>
      <rPr>
        <sz val="10"/>
        <color theme="1"/>
        <rFont val="Calibri"/>
        <family val="2"/>
      </rPr>
      <t xml:space="preserve"> pot</t>
    </r>
  </si>
  <si>
    <t>modello</t>
  </si>
  <si>
    <t>312 C202</t>
  </si>
  <si>
    <t>costo manutenzione [Euro/Kwhel]</t>
  </si>
  <si>
    <t>energia th [kwh/y]</t>
  </si>
  <si>
    <t>energia el [kwh/y]</t>
  </si>
  <si>
    <t>potenza el [kw]</t>
  </si>
  <si>
    <t>costo conduzione [Euro/anno]</t>
  </si>
  <si>
    <t>potenza termica</t>
  </si>
  <si>
    <t>costo assicurazione [Euro/anno]</t>
  </si>
  <si>
    <t>rendimento el</t>
  </si>
  <si>
    <t>rendimento term</t>
  </si>
  <si>
    <t>rendimento tot</t>
  </si>
  <si>
    <t>potenza introdotta</t>
  </si>
  <si>
    <t>Potere calorifico</t>
  </si>
  <si>
    <t>rend elettrico</t>
  </si>
  <si>
    <t xml:space="preserve">rend termico </t>
  </si>
  <si>
    <t xml:space="preserve">rendimento tot </t>
  </si>
  <si>
    <t>rapporto cogenerazione</t>
  </si>
  <si>
    <t>indice elettrico</t>
  </si>
  <si>
    <t>consumo specifico combu</t>
  </si>
  <si>
    <t>COEFFICIENTI PES</t>
  </si>
  <si>
    <t>rend el separato</t>
  </si>
  <si>
    <t>rend th separato</t>
  </si>
  <si>
    <t>portata cippato [t/h]</t>
  </si>
  <si>
    <t>CALCOLO costi orari</t>
  </si>
  <si>
    <t>prezzo cippato [Euro/t]</t>
  </si>
  <si>
    <t>COSTO combustibile [Euro/h]</t>
  </si>
  <si>
    <t>COSTO manutenzione [Euro/h]</t>
  </si>
  <si>
    <t>COSTO conduzione [Euro/h]</t>
  </si>
  <si>
    <t>COSTO assicurazione [Euro/h]</t>
  </si>
  <si>
    <t>COSTO TOTALE NETTO</t>
  </si>
  <si>
    <t>COSTO NETTO SPEC</t>
  </si>
  <si>
    <t>CALCOLO TEE</t>
  </si>
  <si>
    <t>Energia alimentata</t>
  </si>
  <si>
    <t>risparmio energetico [Mwh/y]</t>
  </si>
  <si>
    <t>coefficiente [TEP/Mwht]</t>
  </si>
  <si>
    <t>coefficiente K</t>
  </si>
  <si>
    <t>TEE</t>
  </si>
  <si>
    <t>valore 1 TEE</t>
  </si>
  <si>
    <t>valore tot TEE</t>
  </si>
  <si>
    <t xml:space="preserve">consumo annuo cippato tot [t/y] </t>
  </si>
  <si>
    <t>Rata</t>
  </si>
  <si>
    <t>€</t>
  </si>
  <si>
    <t>autocons.</t>
  </si>
  <si>
    <t>Degradation</t>
  </si>
  <si>
    <t>risparmio</t>
  </si>
  <si>
    <t>€/kWh</t>
  </si>
  <si>
    <t>Inflation</t>
  </si>
  <si>
    <t>Turn key + autorization (€)</t>
  </si>
  <si>
    <t>Tariffa energia</t>
  </si>
  <si>
    <t>Total Investment (€)</t>
  </si>
  <si>
    <t>IRES</t>
  </si>
  <si>
    <t>IRAP</t>
  </si>
  <si>
    <t>Equity  (outflow) (€)</t>
  </si>
  <si>
    <t>IMU</t>
  </si>
  <si>
    <t>Refinancing Base Euribor 3 months</t>
  </si>
  <si>
    <t>www.euribor.it/</t>
  </si>
  <si>
    <t>Spread</t>
  </si>
  <si>
    <t>Interest Rate</t>
  </si>
  <si>
    <t>WACC</t>
  </si>
  <si>
    <t>Duration (m) calcolo</t>
  </si>
  <si>
    <t>mesi</t>
  </si>
  <si>
    <t>anni</t>
  </si>
  <si>
    <t>Duration</t>
  </si>
  <si>
    <t>PIANO ECONOMICO FINANZIARIO</t>
  </si>
  <si>
    <t>Anni</t>
  </si>
  <si>
    <t>TOTALE</t>
  </si>
  <si>
    <t>Generazione Elettrica</t>
  </si>
  <si>
    <t>kWh</t>
  </si>
  <si>
    <t>Previsione PUN</t>
  </si>
  <si>
    <t>Ricavo da Tariffa Incentivante</t>
  </si>
  <si>
    <t>Inflazione</t>
  </si>
  <si>
    <t>Fattore d'Inflazione</t>
  </si>
  <si>
    <t>Ricavi totali (Erning)</t>
  </si>
  <si>
    <t>O&amp;M e assicurazione</t>
  </si>
  <si>
    <t>Costi Totali</t>
  </si>
  <si>
    <t>Flussi di Cassa Operativi (EBITDA - margine operativo lordo)</t>
  </si>
  <si>
    <t xml:space="preserve">Rata (ipotesi) </t>
  </si>
  <si>
    <t xml:space="preserve">Ammortamento </t>
  </si>
  <si>
    <t>Riscatto</t>
  </si>
  <si>
    <t>Profitti ante imposte (EBIT)</t>
  </si>
  <si>
    <t>Ires (Imposta Redditi Societari)</t>
  </si>
  <si>
    <t>Irap (Imposta Regionale Attività Produttive)</t>
  </si>
  <si>
    <t>Net Cash Flow</t>
  </si>
  <si>
    <t>Cash Flow Cumulativo</t>
  </si>
  <si>
    <t>ROI 1° anno</t>
  </si>
  <si>
    <t>ROE 1° anno</t>
  </si>
  <si>
    <t>Tempo Ritorno Investimento (anni)</t>
  </si>
  <si>
    <t>VAN: valore dei flussi di cassa attesi attualizzati mediante un dato tasso di rendimento</t>
  </si>
  <si>
    <t>TIR: tasso di ritorno effettivo generato da un investimento. In generale un progetto viene perseguito quando il TIR risulta essere maggiore del costo del capitale per quell'investimento</t>
  </si>
  <si>
    <t>ROI: indice di redditività del capitale investito. Calcolato come rapporto tra risultato operativo e capitale investito netto.</t>
  </si>
  <si>
    <t>ROE: è l'indicatore del grado di remunerazione del rischio affrontato dall'imprenditore e dai soci. Calcolato come rapporto tra utile netto e patrimonio netto</t>
  </si>
  <si>
    <t>Power (kWth)</t>
  </si>
  <si>
    <t>Power (kWel)</t>
  </si>
  <si>
    <t>kW</t>
  </si>
  <si>
    <t>Generazione termica</t>
  </si>
  <si>
    <t>Previsione vendita calore</t>
  </si>
  <si>
    <t>Ricavo</t>
  </si>
  <si>
    <t>Titoli TEE</t>
  </si>
  <si>
    <t>Energia termica prodotta [Mwh/y]</t>
  </si>
  <si>
    <t>Energia elettrica [Mwh/y]</t>
  </si>
  <si>
    <t>Manutenzione</t>
  </si>
  <si>
    <t>Conduzione</t>
  </si>
  <si>
    <t xml:space="preserve">Cash flow cumulato (25 anni) </t>
  </si>
  <si>
    <t>Combustibile</t>
  </si>
  <si>
    <t>75% della volumetria prevista di 33700 m^3</t>
  </si>
  <si>
    <t>kwth</t>
  </si>
  <si>
    <t>kwel</t>
  </si>
  <si>
    <t>Perdite di rete 19%</t>
  </si>
  <si>
    <t>costo impianto specifico [Euro/kwth]</t>
  </si>
  <si>
    <t>Credito d'imposta</t>
  </si>
  <si>
    <t>Credito  d'imposta iniziale</t>
  </si>
  <si>
    <t>Carico Nominale
[Kw]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</si>
</sst>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8" formatCode="#,##0.00\ &quot;€&quot;;[Red]\-#,##0.00\ &quot;€&quot;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_-* #,##0_-;\-* #,##0_-;_-* &quot;-&quot;??_-;_-@_-"/>
    <numFmt numFmtId="166" formatCode="0.0%"/>
    <numFmt numFmtId="167" formatCode="_-* #,##0.0_-;\-* #,##0.0_-;_-* &quot;-&quot;?_-;_-@_-"/>
    <numFmt numFmtId="168" formatCode="_-* #,##0_-;\-* #,##0_-;_-* &quot;-&quot;?_-;_-@_-"/>
    <numFmt numFmtId="169" formatCode="_-* #,##0.0_-;\-* #,##0.0_-;_-* &quot;-&quot;??_-;_-@_-"/>
    <numFmt numFmtId="170" formatCode="_-* #,##0.00_-;\-* #,##0.00_-;_-* &quot;-&quot;?_-;_-@_-"/>
    <numFmt numFmtId="171" formatCode="#,##0\ [$€-410];[Red]\-#,##0\ [$€-410]"/>
    <numFmt numFmtId="172" formatCode="_-* #,##0.000_-;\-* #,##0.000_-;_-* &quot;-&quot;?_-;_-@_-"/>
    <numFmt numFmtId="173" formatCode="_-* #,##0.00\ _€_-;\-* #,##0.00\ _€_-;_-* &quot;-&quot;??\ _€_-;_-@_-"/>
    <numFmt numFmtId="174" formatCode="0.0"/>
    <numFmt numFmtId="175" formatCode="0.000"/>
    <numFmt numFmtId="176" formatCode="#,##0_%_);\(#,##0\)_%;#,##0_%_);@_%_)"/>
    <numFmt numFmtId="177" formatCode="#,##0.000_%_);\(#,##0.000\)_%;#,##0.000_%_);@_%_)"/>
    <numFmt numFmtId="178" formatCode="#,##0.00_%_);\(#,##0.00\)_%;#,##0.00_%_);@_%_)"/>
    <numFmt numFmtId="179" formatCode="&quot;€&quot;\ #,##0.00;[Red]\-&quot;€&quot;\ #,##0.00"/>
    <numFmt numFmtId="180" formatCode="_-&quot;€&quot;\ * #,##0_-;\-&quot;€&quot;\ * #,##0_-;_-&quot;€&quot;\ * &quot;-&quot;??_-;_-@_-"/>
    <numFmt numFmtId="181" formatCode="#,##0.000000000"/>
    <numFmt numFmtId="182" formatCode="_-* #,##0.000\ _€_-;\-* #,##0.000\ _€_-;_-* &quot;-&quot;??\ _€_-;_-@_-"/>
    <numFmt numFmtId="183" formatCode="_-* #,##0.000\ _€_-;\-* #,##0.000\ _€_-;_-* &quot;-&quot;???\ _€_-;_-@_-"/>
  </numFmts>
  <fonts count="5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 (Corpo)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2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Calibri Light"/>
      <family val="2"/>
      <scheme val="major"/>
    </font>
    <font>
      <sz val="10"/>
      <color rgb="FFFF0000"/>
      <name val="Calibri Light"/>
      <family val="2"/>
      <scheme val="major"/>
    </font>
    <font>
      <i/>
      <sz val="10"/>
      <color theme="1"/>
      <name val="Calibri Light"/>
      <family val="2"/>
      <scheme val="major"/>
    </font>
    <font>
      <b/>
      <sz val="10"/>
      <color theme="0"/>
      <name val="Calibri Light"/>
      <family val="2"/>
      <scheme val="major"/>
    </font>
    <font>
      <sz val="10"/>
      <color rgb="FFFF0000"/>
      <name val="Calibri"/>
      <family val="2"/>
      <scheme val="minor"/>
    </font>
    <font>
      <b/>
      <sz val="18"/>
      <color theme="1"/>
      <name val="Calibri Light"/>
      <family val="2"/>
      <scheme val="major"/>
    </font>
    <font>
      <b/>
      <sz val="18"/>
      <color theme="0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b/>
      <vertAlign val="subscript"/>
      <sz val="10"/>
      <color theme="1"/>
      <name val="Calibri Light"/>
      <family val="2"/>
      <scheme val="major"/>
    </font>
    <font>
      <b/>
      <sz val="10"/>
      <color theme="4"/>
      <name val="Calibri Light"/>
      <family val="2"/>
      <scheme val="major"/>
    </font>
    <font>
      <b/>
      <i/>
      <sz val="10"/>
      <color theme="1"/>
      <name val="Calibri Light"/>
      <family val="2"/>
      <scheme val="major"/>
    </font>
    <font>
      <vertAlign val="subscript"/>
      <sz val="10"/>
      <color theme="1"/>
      <name val="Calibri Light"/>
      <family val="2"/>
      <scheme val="maj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1"/>
      <name val="Calibri Light"/>
      <family val="2"/>
      <scheme val="major"/>
    </font>
    <font>
      <b/>
      <sz val="9"/>
      <name val="Calibri Light"/>
      <family val="2"/>
      <scheme val="major"/>
    </font>
    <font>
      <sz val="11"/>
      <name val="Calibri Light"/>
      <family val="2"/>
      <scheme val="major"/>
    </font>
    <font>
      <sz val="11"/>
      <color rgb="FF000000"/>
      <name val="Calibri Light"/>
      <family val="2"/>
      <scheme val="major"/>
    </font>
    <font>
      <sz val="12"/>
      <color theme="1"/>
      <name val="Calibri Light"/>
      <family val="2"/>
      <scheme val="major"/>
    </font>
    <font>
      <vertAlign val="subscript"/>
      <sz val="10"/>
      <color theme="1"/>
      <name val="Calibri"/>
      <family val="2"/>
    </font>
    <font>
      <b/>
      <sz val="10"/>
      <name val="Calibri Light"/>
      <family val="2"/>
      <scheme val="major"/>
    </font>
    <font>
      <vertAlign val="subscript"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6"/>
      <color theme="0"/>
      <name val="Calibri Light"/>
      <family val="2"/>
      <scheme val="major"/>
    </font>
    <font>
      <b/>
      <sz val="18"/>
      <color theme="0"/>
      <name val="Calibri"/>
      <family val="2"/>
      <scheme val="minor"/>
    </font>
    <font>
      <b/>
      <sz val="12"/>
      <color theme="0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b/>
      <sz val="11"/>
      <name val="Calibri"/>
      <family val="2"/>
    </font>
    <font>
      <i/>
      <sz val="12"/>
      <name val="Calibri"/>
      <family val="2"/>
    </font>
    <font>
      <i/>
      <sz val="11"/>
      <name val="Calibri"/>
      <family val="2"/>
    </font>
    <font>
      <u/>
      <sz val="11"/>
      <name val="Calibri"/>
      <family val="2"/>
    </font>
    <font>
      <i/>
      <sz val="13"/>
      <name val="Calibri"/>
      <family val="2"/>
    </font>
    <font>
      <b/>
      <sz val="12"/>
      <color indexed="9"/>
      <name val="Calibri"/>
      <family val="2"/>
    </font>
    <font>
      <sz val="12"/>
      <color indexed="9"/>
      <name val="Calibri"/>
      <family val="2"/>
    </font>
    <font>
      <sz val="12"/>
      <name val="Calibri"/>
      <family val="2"/>
    </font>
    <font>
      <b/>
      <sz val="11"/>
      <color indexed="10"/>
      <name val="Calibri"/>
      <family val="2"/>
    </font>
    <font>
      <sz val="11"/>
      <name val="Segoe UI Light"/>
      <family val="2"/>
    </font>
    <font>
      <b/>
      <sz val="12"/>
      <name val="Calibri"/>
      <family val="2"/>
    </font>
    <font>
      <b/>
      <sz val="12"/>
      <color indexed="9"/>
      <name val="Calibri Light"/>
      <family val="2"/>
    </font>
    <font>
      <sz val="12"/>
      <color indexed="9"/>
      <name val="Calibri Light"/>
      <family val="2"/>
    </font>
    <font>
      <b/>
      <sz val="12"/>
      <name val="Calibri Light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color rgb="FFFF0000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mediumDashed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Dashed">
        <color indexed="64"/>
      </left>
      <right/>
      <top/>
      <bottom/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/>
      <diagonal/>
    </border>
    <border>
      <left/>
      <right/>
      <top style="mediumDashed">
        <color indexed="64"/>
      </top>
      <bottom/>
      <diagonal/>
    </border>
    <border>
      <left style="mediumDashed">
        <color indexed="64"/>
      </left>
      <right style="mediumDashed">
        <color indexed="64"/>
      </right>
      <top/>
      <bottom style="mediumDashed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medium">
        <color theme="8"/>
      </left>
      <right/>
      <top style="medium">
        <color theme="8"/>
      </top>
      <bottom/>
      <diagonal/>
    </border>
    <border>
      <left/>
      <right/>
      <top style="medium">
        <color theme="8"/>
      </top>
      <bottom/>
      <diagonal/>
    </border>
    <border>
      <left/>
      <right style="medium">
        <color theme="8"/>
      </right>
      <top style="medium">
        <color theme="8"/>
      </top>
      <bottom/>
      <diagonal/>
    </border>
    <border>
      <left style="medium">
        <color theme="8"/>
      </left>
      <right/>
      <top/>
      <bottom/>
      <diagonal/>
    </border>
    <border>
      <left/>
      <right style="medium">
        <color theme="8"/>
      </right>
      <top/>
      <bottom/>
      <diagonal/>
    </border>
    <border>
      <left style="medium">
        <color theme="8"/>
      </left>
      <right/>
      <top/>
      <bottom style="medium">
        <color theme="8"/>
      </bottom>
      <diagonal/>
    </border>
    <border>
      <left/>
      <right/>
      <top/>
      <bottom style="medium">
        <color theme="8"/>
      </bottom>
      <diagonal/>
    </border>
    <border>
      <left/>
      <right style="medium">
        <color theme="8"/>
      </right>
      <top/>
      <bottom style="medium">
        <color theme="8"/>
      </bottom>
      <diagonal/>
    </border>
    <border>
      <left style="medium">
        <color theme="4"/>
      </left>
      <right/>
      <top style="medium">
        <color theme="4"/>
      </top>
      <bottom/>
      <diagonal/>
    </border>
    <border>
      <left/>
      <right/>
      <top style="medium">
        <color theme="4"/>
      </top>
      <bottom/>
      <diagonal/>
    </border>
    <border>
      <left/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/>
      <bottom/>
      <diagonal/>
    </border>
    <border>
      <left/>
      <right style="medium">
        <color theme="4"/>
      </right>
      <top/>
      <bottom/>
      <diagonal/>
    </border>
    <border>
      <left style="medium">
        <color theme="4"/>
      </left>
      <right/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/>
      <top style="medium">
        <color theme="4"/>
      </top>
      <bottom style="medium">
        <color theme="4"/>
      </bottom>
      <diagonal/>
    </border>
    <border>
      <left/>
      <right style="medium">
        <color theme="4"/>
      </right>
      <top style="medium">
        <color theme="4"/>
      </top>
      <bottom style="medium">
        <color theme="4"/>
      </bottom>
      <diagonal/>
    </border>
    <border>
      <left style="medium">
        <color theme="5"/>
      </left>
      <right/>
      <top style="medium">
        <color theme="5"/>
      </top>
      <bottom/>
      <diagonal/>
    </border>
    <border>
      <left/>
      <right/>
      <top style="medium">
        <color theme="5"/>
      </top>
      <bottom/>
      <diagonal/>
    </border>
    <border>
      <left/>
      <right style="medium">
        <color theme="5"/>
      </right>
      <top style="medium">
        <color theme="5"/>
      </top>
      <bottom/>
      <diagonal/>
    </border>
    <border>
      <left style="medium">
        <color theme="5"/>
      </left>
      <right/>
      <top/>
      <bottom/>
      <diagonal/>
    </border>
    <border>
      <left/>
      <right style="medium">
        <color theme="5"/>
      </right>
      <top/>
      <bottom/>
      <diagonal/>
    </border>
    <border>
      <left style="medium">
        <color theme="5"/>
      </left>
      <right/>
      <top/>
      <bottom style="medium">
        <color theme="5"/>
      </bottom>
      <diagonal/>
    </border>
    <border>
      <left/>
      <right/>
      <top/>
      <bottom style="medium">
        <color theme="5"/>
      </bottom>
      <diagonal/>
    </border>
    <border>
      <left/>
      <right style="medium">
        <color theme="5"/>
      </right>
      <top/>
      <bottom style="medium">
        <color theme="5"/>
      </bottom>
      <diagonal/>
    </border>
    <border>
      <left style="medium">
        <color theme="5"/>
      </left>
      <right/>
      <top style="medium">
        <color theme="5"/>
      </top>
      <bottom style="medium">
        <color theme="5"/>
      </bottom>
      <diagonal/>
    </border>
    <border>
      <left/>
      <right style="medium">
        <color theme="5"/>
      </right>
      <top style="medium">
        <color theme="5"/>
      </top>
      <bottom style="medium">
        <color theme="5"/>
      </bottom>
      <diagonal/>
    </border>
    <border>
      <left/>
      <right/>
      <top style="medium">
        <color theme="5"/>
      </top>
      <bottom style="medium">
        <color theme="5"/>
      </bottom>
      <diagonal/>
    </border>
    <border>
      <left style="medium">
        <color theme="4"/>
      </left>
      <right style="mediumDashed">
        <color indexed="64"/>
      </right>
      <top/>
      <bottom/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 style="medium">
        <color theme="4"/>
      </right>
      <top/>
      <bottom/>
      <diagonal/>
    </border>
    <border>
      <left style="medium">
        <color theme="4"/>
      </left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 style="mediumDashed">
        <color indexed="64"/>
      </right>
      <top/>
      <bottom style="medium">
        <color theme="4"/>
      </bottom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7" fillId="0" borderId="0" applyNumberFormat="0" applyFill="0" applyBorder="0" applyAlignment="0" applyProtection="0"/>
  </cellStyleXfs>
  <cellXfs count="398">
    <xf numFmtId="0" fontId="0" fillId="0" borderId="0" xfId="0"/>
    <xf numFmtId="0" fontId="0" fillId="0" borderId="0" xfId="0" applyBorder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Border="1"/>
    <xf numFmtId="165" fontId="2" fillId="0" borderId="0" xfId="1" applyNumberFormat="1" applyFont="1" applyBorder="1"/>
    <xf numFmtId="0" fontId="2" fillId="0" borderId="0" xfId="0" applyFont="1" applyAlignment="1">
      <alignment vertical="center"/>
    </xf>
    <xf numFmtId="0" fontId="8" fillId="0" borderId="5" xfId="0" applyFont="1" applyBorder="1"/>
    <xf numFmtId="169" fontId="11" fillId="4" borderId="0" xfId="1" applyNumberFormat="1" applyFont="1" applyFill="1" applyBorder="1" applyAlignment="1">
      <alignment horizontal="center" vertical="center"/>
    </xf>
    <xf numFmtId="0" fontId="8" fillId="0" borderId="7" xfId="0" applyFont="1" applyBorder="1"/>
    <xf numFmtId="166" fontId="17" fillId="0" borderId="9" xfId="2" applyNumberFormat="1" applyFont="1" applyBorder="1" applyAlignment="1">
      <alignment horizontal="center" vertical="center"/>
    </xf>
    <xf numFmtId="9" fontId="17" fillId="0" borderId="0" xfId="2" applyFont="1" applyBorder="1"/>
    <xf numFmtId="0" fontId="8" fillId="0" borderId="7" xfId="0" applyFont="1" applyBorder="1" applyAlignment="1">
      <alignment horizontal="center" vertical="center"/>
    </xf>
    <xf numFmtId="0" fontId="21" fillId="0" borderId="0" xfId="0" applyFont="1"/>
    <xf numFmtId="0" fontId="22" fillId="0" borderId="10" xfId="0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 wrapText="1"/>
    </xf>
    <xf numFmtId="9" fontId="21" fillId="0" borderId="14" xfId="2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left" vertical="top" wrapText="1"/>
    </xf>
    <xf numFmtId="0" fontId="24" fillId="0" borderId="17" xfId="0" applyFont="1" applyBorder="1" applyAlignment="1">
      <alignment horizontal="left" vertical="top" wrapText="1"/>
    </xf>
    <xf numFmtId="0" fontId="25" fillId="0" borderId="12" xfId="0" applyFont="1" applyBorder="1" applyAlignment="1">
      <alignment horizontal="center" vertical="top" wrapText="1"/>
    </xf>
    <xf numFmtId="0" fontId="25" fillId="0" borderId="18" xfId="0" applyFont="1" applyBorder="1" applyAlignment="1">
      <alignment vertical="top" wrapText="1"/>
    </xf>
    <xf numFmtId="166" fontId="21" fillId="0" borderId="12" xfId="2" applyNumberFormat="1" applyFont="1" applyBorder="1" applyAlignment="1">
      <alignment horizontal="right" vertical="center" wrapText="1"/>
    </xf>
    <xf numFmtId="166" fontId="21" fillId="0" borderId="11" xfId="2" applyNumberFormat="1" applyFont="1" applyBorder="1" applyAlignment="1">
      <alignment horizontal="right" vertical="center" wrapText="1"/>
    </xf>
    <xf numFmtId="0" fontId="25" fillId="0" borderId="12" xfId="0" applyFont="1" applyBorder="1" applyAlignment="1">
      <alignment vertical="top" wrapText="1"/>
    </xf>
    <xf numFmtId="166" fontId="26" fillId="0" borderId="12" xfId="2" applyNumberFormat="1" applyFont="1" applyBorder="1" applyAlignment="1">
      <alignment horizontal="right" vertical="center" wrapText="1"/>
    </xf>
    <xf numFmtId="166" fontId="26" fillId="0" borderId="11" xfId="2" applyNumberFormat="1" applyFont="1" applyBorder="1" applyAlignment="1">
      <alignment horizontal="right" vertical="center" wrapText="1"/>
    </xf>
    <xf numFmtId="0" fontId="25" fillId="0" borderId="19" xfId="0" applyFont="1" applyBorder="1" applyAlignment="1">
      <alignment horizontal="center" vertical="top" wrapText="1"/>
    </xf>
    <xf numFmtId="0" fontId="21" fillId="0" borderId="20" xfId="0" applyFont="1" applyBorder="1" applyAlignment="1">
      <alignment vertical="top" wrapText="1"/>
    </xf>
    <xf numFmtId="166" fontId="21" fillId="0" borderId="19" xfId="2" applyNumberFormat="1" applyFont="1" applyBorder="1" applyAlignment="1">
      <alignment horizontal="right" vertical="center" wrapText="1"/>
    </xf>
    <xf numFmtId="166" fontId="21" fillId="0" borderId="14" xfId="2" applyNumberFormat="1" applyFont="1" applyBorder="1" applyAlignment="1">
      <alignment horizontal="right" vertical="center" wrapText="1"/>
    </xf>
    <xf numFmtId="0" fontId="21" fillId="0" borderId="19" xfId="0" applyFont="1" applyBorder="1" applyAlignment="1">
      <alignment vertical="top" wrapText="1"/>
    </xf>
    <xf numFmtId="166" fontId="26" fillId="0" borderId="19" xfId="2" applyNumberFormat="1" applyFont="1" applyBorder="1" applyAlignment="1">
      <alignment horizontal="right" vertical="center" wrapText="1"/>
    </xf>
    <xf numFmtId="166" fontId="26" fillId="0" borderId="14" xfId="2" applyNumberFormat="1" applyFont="1" applyBorder="1" applyAlignment="1">
      <alignment horizontal="right" vertical="center" wrapText="1"/>
    </xf>
    <xf numFmtId="0" fontId="21" fillId="0" borderId="20" xfId="0" applyFont="1" applyBorder="1"/>
    <xf numFmtId="0" fontId="21" fillId="0" borderId="19" xfId="0" applyFont="1" applyBorder="1"/>
    <xf numFmtId="0" fontId="25" fillId="0" borderId="16" xfId="0" applyFont="1" applyBorder="1" applyAlignment="1">
      <alignment horizontal="center" vertical="top" wrapText="1"/>
    </xf>
    <xf numFmtId="0" fontId="21" fillId="0" borderId="21" xfId="0" applyFont="1" applyBorder="1" applyAlignment="1">
      <alignment vertical="top" wrapText="1"/>
    </xf>
    <xf numFmtId="166" fontId="21" fillId="0" borderId="16" xfId="2" applyNumberFormat="1" applyFont="1" applyBorder="1" applyAlignment="1">
      <alignment horizontal="right" vertical="center" wrapText="1"/>
    </xf>
    <xf numFmtId="166" fontId="21" fillId="0" borderId="17" xfId="2" applyNumberFormat="1" applyFont="1" applyBorder="1" applyAlignment="1">
      <alignment horizontal="right" vertical="center" wrapText="1"/>
    </xf>
    <xf numFmtId="0" fontId="21" fillId="0" borderId="16" xfId="0" applyFont="1" applyBorder="1" applyAlignment="1">
      <alignment vertical="top" wrapText="1"/>
    </xf>
    <xf numFmtId="166" fontId="26" fillId="0" borderId="16" xfId="2" applyNumberFormat="1" applyFont="1" applyBorder="1" applyAlignment="1">
      <alignment horizontal="right" vertical="center" wrapText="1"/>
    </xf>
    <xf numFmtId="166" fontId="26" fillId="0" borderId="17" xfId="2" applyNumberFormat="1" applyFont="1" applyBorder="1" applyAlignment="1">
      <alignment horizontal="right" vertical="center" wrapText="1"/>
    </xf>
    <xf numFmtId="0" fontId="25" fillId="0" borderId="12" xfId="0" applyFont="1" applyBorder="1" applyAlignment="1">
      <alignment horizontal="left" vertical="top" wrapText="1"/>
    </xf>
    <xf numFmtId="0" fontId="21" fillId="0" borderId="15" xfId="0" applyFont="1" applyBorder="1" applyAlignment="1">
      <alignment horizontal="left" vertical="center" wrapText="1"/>
    </xf>
    <xf numFmtId="9" fontId="21" fillId="0" borderId="17" xfId="2" applyFont="1" applyBorder="1" applyAlignment="1">
      <alignment horizontal="center" vertical="center"/>
    </xf>
    <xf numFmtId="0" fontId="25" fillId="0" borderId="19" xfId="0" applyFont="1" applyBorder="1" applyAlignment="1">
      <alignment horizontal="left" vertical="top" wrapText="1"/>
    </xf>
    <xf numFmtId="0" fontId="25" fillId="0" borderId="16" xfId="0" applyFont="1" applyBorder="1" applyAlignment="1">
      <alignment horizontal="left" vertical="top" wrapText="1"/>
    </xf>
    <xf numFmtId="0" fontId="25" fillId="0" borderId="23" xfId="0" applyFont="1" applyBorder="1" applyAlignment="1">
      <alignment horizontal="left" vertical="top" wrapText="1"/>
    </xf>
    <xf numFmtId="0" fontId="21" fillId="0" borderId="23" xfId="0" applyFont="1" applyBorder="1" applyAlignment="1">
      <alignment vertical="top" wrapText="1"/>
    </xf>
    <xf numFmtId="166" fontId="26" fillId="0" borderId="23" xfId="2" applyNumberFormat="1" applyFont="1" applyBorder="1" applyAlignment="1">
      <alignment horizontal="right" vertical="center" wrapText="1"/>
    </xf>
    <xf numFmtId="166" fontId="26" fillId="0" borderId="24" xfId="2" applyNumberFormat="1" applyFont="1" applyBorder="1" applyAlignment="1">
      <alignment horizontal="right" vertical="center" wrapText="1"/>
    </xf>
    <xf numFmtId="166" fontId="21" fillId="0" borderId="25" xfId="2" applyNumberFormat="1" applyFont="1" applyBorder="1" applyAlignment="1">
      <alignment horizontal="right" vertical="center" wrapText="1"/>
    </xf>
    <xf numFmtId="166" fontId="21" fillId="0" borderId="26" xfId="2" applyNumberFormat="1" applyFont="1" applyBorder="1" applyAlignment="1">
      <alignment horizontal="right" vertical="center" wrapText="1"/>
    </xf>
    <xf numFmtId="166" fontId="21" fillId="0" borderId="19" xfId="2" applyNumberFormat="1" applyFont="1" applyBorder="1" applyAlignment="1">
      <alignment horizontal="right" vertical="center"/>
    </xf>
    <xf numFmtId="166" fontId="21" fillId="0" borderId="27" xfId="2" applyNumberFormat="1" applyFont="1" applyBorder="1" applyAlignment="1">
      <alignment horizontal="right" vertical="center"/>
    </xf>
    <xf numFmtId="166" fontId="21" fillId="0" borderId="28" xfId="2" applyNumberFormat="1" applyFont="1" applyBorder="1" applyAlignment="1">
      <alignment horizontal="right" vertical="center"/>
    </xf>
    <xf numFmtId="166" fontId="26" fillId="0" borderId="27" xfId="2" applyNumberFormat="1" applyFont="1" applyBorder="1" applyAlignment="1">
      <alignment horizontal="right" vertical="center" wrapText="1"/>
    </xf>
    <xf numFmtId="166" fontId="26" fillId="0" borderId="28" xfId="2" applyNumberFormat="1" applyFont="1" applyBorder="1" applyAlignment="1">
      <alignment horizontal="right" vertical="center" wrapText="1"/>
    </xf>
    <xf numFmtId="166" fontId="21" fillId="0" borderId="16" xfId="2" applyNumberFormat="1" applyFont="1" applyBorder="1" applyAlignment="1">
      <alignment horizontal="right" vertical="center"/>
    </xf>
    <xf numFmtId="166" fontId="21" fillId="0" borderId="29" xfId="2" applyNumberFormat="1" applyFont="1" applyBorder="1" applyAlignment="1">
      <alignment horizontal="right" vertical="center"/>
    </xf>
    <xf numFmtId="166" fontId="21" fillId="0" borderId="30" xfId="2" applyNumberFormat="1" applyFont="1" applyBorder="1" applyAlignment="1">
      <alignment horizontal="right" vertical="center"/>
    </xf>
    <xf numFmtId="0" fontId="8" fillId="0" borderId="0" xfId="0" applyFont="1" applyBorder="1"/>
    <xf numFmtId="0" fontId="10" fillId="0" borderId="0" xfId="0" applyFont="1" applyBorder="1" applyAlignment="1">
      <alignment vertical="top" wrapText="1"/>
    </xf>
    <xf numFmtId="0" fontId="2" fillId="0" borderId="31" xfId="0" applyFont="1" applyBorder="1" applyAlignment="1">
      <alignment horizontal="center"/>
    </xf>
    <xf numFmtId="0" fontId="2" fillId="0" borderId="31" xfId="0" applyFont="1" applyBorder="1"/>
    <xf numFmtId="170" fontId="2" fillId="0" borderId="31" xfId="0" applyNumberFormat="1" applyFont="1" applyBorder="1"/>
    <xf numFmtId="0" fontId="5" fillId="0" borderId="0" xfId="0" applyFont="1" applyBorder="1" applyAlignment="1">
      <alignment horizontal="left"/>
    </xf>
    <xf numFmtId="168" fontId="2" fillId="0" borderId="0" xfId="0" applyNumberFormat="1" applyFont="1" applyBorder="1"/>
    <xf numFmtId="0" fontId="8" fillId="0" borderId="35" xfId="0" applyFont="1" applyBorder="1" applyAlignment="1"/>
    <xf numFmtId="165" fontId="2" fillId="0" borderId="36" xfId="0" applyNumberFormat="1" applyFont="1" applyBorder="1"/>
    <xf numFmtId="168" fontId="2" fillId="0" borderId="36" xfId="0" applyNumberFormat="1" applyFont="1" applyBorder="1"/>
    <xf numFmtId="0" fontId="8" fillId="0" borderId="35" xfId="0" applyFont="1" applyBorder="1" applyAlignment="1">
      <alignment vertical="center"/>
    </xf>
    <xf numFmtId="0" fontId="8" fillId="0" borderId="37" xfId="0" applyFont="1" applyBorder="1" applyAlignment="1">
      <alignment vertical="center"/>
    </xf>
    <xf numFmtId="0" fontId="2" fillId="0" borderId="38" xfId="0" applyFont="1" applyBorder="1"/>
    <xf numFmtId="168" fontId="2" fillId="0" borderId="39" xfId="0" applyNumberFormat="1" applyFont="1" applyBorder="1"/>
    <xf numFmtId="43" fontId="2" fillId="0" borderId="36" xfId="1" applyNumberFormat="1" applyFont="1" applyFill="1" applyBorder="1"/>
    <xf numFmtId="43" fontId="2" fillId="0" borderId="39" xfId="1" applyNumberFormat="1" applyFont="1" applyFill="1" applyBorder="1"/>
    <xf numFmtId="0" fontId="8" fillId="0" borderId="35" xfId="0" applyFont="1" applyBorder="1" applyAlignment="1">
      <alignment horizontal="left"/>
    </xf>
    <xf numFmtId="0" fontId="8" fillId="0" borderId="35" xfId="0" applyFont="1" applyBorder="1" applyAlignment="1">
      <alignment horizontal="left" vertical="center"/>
    </xf>
    <xf numFmtId="0" fontId="8" fillId="0" borderId="37" xfId="0" applyFont="1" applyBorder="1" applyAlignment="1">
      <alignment horizontal="left" vertical="center"/>
    </xf>
    <xf numFmtId="0" fontId="2" fillId="0" borderId="43" xfId="0" applyFont="1" applyBorder="1"/>
    <xf numFmtId="0" fontId="5" fillId="0" borderId="43" xfId="0" applyFont="1" applyBorder="1" applyAlignment="1">
      <alignment horizontal="left"/>
    </xf>
    <xf numFmtId="0" fontId="2" fillId="0" borderId="44" xfId="0" applyFont="1" applyBorder="1"/>
    <xf numFmtId="0" fontId="2" fillId="0" borderId="46" xfId="0" applyFont="1" applyBorder="1"/>
    <xf numFmtId="0" fontId="2" fillId="0" borderId="47" xfId="0" applyFont="1" applyBorder="1"/>
    <xf numFmtId="0" fontId="8" fillId="0" borderId="45" xfId="0" applyFont="1" applyBorder="1" applyAlignment="1">
      <alignment horizontal="left" vertical="center"/>
    </xf>
    <xf numFmtId="0" fontId="2" fillId="0" borderId="48" xfId="0" applyFont="1" applyFill="1" applyBorder="1"/>
    <xf numFmtId="10" fontId="2" fillId="0" borderId="49" xfId="2" applyNumberFormat="1" applyFont="1" applyBorder="1"/>
    <xf numFmtId="0" fontId="2" fillId="0" borderId="40" xfId="0" applyFont="1" applyBorder="1"/>
    <xf numFmtId="9" fontId="2" fillId="0" borderId="42" xfId="0" applyNumberFormat="1" applyFont="1" applyBorder="1"/>
    <xf numFmtId="0" fontId="2" fillId="0" borderId="45" xfId="0" applyFont="1" applyBorder="1"/>
    <xf numFmtId="9" fontId="2" fillId="0" borderId="47" xfId="0" applyNumberFormat="1" applyFont="1" applyBorder="1"/>
    <xf numFmtId="0" fontId="5" fillId="0" borderId="48" xfId="0" applyFont="1" applyBorder="1" applyAlignment="1">
      <alignment horizontal="left"/>
    </xf>
    <xf numFmtId="9" fontId="2" fillId="0" borderId="49" xfId="2" applyFont="1" applyBorder="1"/>
    <xf numFmtId="166" fontId="2" fillId="0" borderId="42" xfId="2" applyNumberFormat="1" applyFont="1" applyBorder="1"/>
    <xf numFmtId="166" fontId="2" fillId="0" borderId="44" xfId="2" applyNumberFormat="1" applyFont="1" applyBorder="1"/>
    <xf numFmtId="0" fontId="5" fillId="0" borderId="45" xfId="0" applyFont="1" applyBorder="1" applyAlignment="1">
      <alignment horizontal="left"/>
    </xf>
    <xf numFmtId="0" fontId="2" fillId="0" borderId="35" xfId="0" applyFont="1" applyBorder="1"/>
    <xf numFmtId="0" fontId="2" fillId="0" borderId="36" xfId="0" applyFont="1" applyBorder="1"/>
    <xf numFmtId="0" fontId="2" fillId="0" borderId="53" xfId="0" applyFont="1" applyBorder="1"/>
    <xf numFmtId="0" fontId="2" fillId="0" borderId="54" xfId="0" applyFont="1" applyBorder="1"/>
    <xf numFmtId="0" fontId="2" fillId="0" borderId="55" xfId="0" applyFont="1" applyBorder="1"/>
    <xf numFmtId="0" fontId="2" fillId="0" borderId="56" xfId="0" applyFont="1" applyBorder="1"/>
    <xf numFmtId="0" fontId="2" fillId="0" borderId="58" xfId="0" applyFont="1" applyBorder="1"/>
    <xf numFmtId="9" fontId="2" fillId="0" borderId="59" xfId="0" applyNumberFormat="1" applyFont="1" applyBorder="1"/>
    <xf numFmtId="0" fontId="8" fillId="0" borderId="60" xfId="0" applyFont="1" applyBorder="1" applyAlignment="1">
      <alignment horizontal="left"/>
    </xf>
    <xf numFmtId="0" fontId="8" fillId="0" borderId="56" xfId="0" applyFont="1" applyBorder="1" applyAlignment="1">
      <alignment horizontal="left"/>
    </xf>
    <xf numFmtId="0" fontId="8" fillId="0" borderId="43" xfId="0" applyFont="1" applyBorder="1"/>
    <xf numFmtId="0" fontId="8" fillId="0" borderId="44" xfId="0" applyFont="1" applyBorder="1"/>
    <xf numFmtId="0" fontId="15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11" fillId="2" borderId="0" xfId="0" applyFont="1" applyFill="1" applyBorder="1"/>
    <xf numFmtId="0" fontId="8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vertical="top" wrapText="1"/>
    </xf>
    <xf numFmtId="0" fontId="8" fillId="7" borderId="0" xfId="0" applyFont="1" applyFill="1" applyBorder="1" applyAlignment="1">
      <alignment horizontal="center" vertical="center"/>
    </xf>
    <xf numFmtId="0" fontId="8" fillId="0" borderId="44" xfId="0" applyFont="1" applyBorder="1" applyAlignment="1">
      <alignment vertical="top"/>
    </xf>
    <xf numFmtId="0" fontId="0" fillId="0" borderId="44" xfId="0" applyBorder="1"/>
    <xf numFmtId="9" fontId="2" fillId="0" borderId="43" xfId="0" applyNumberFormat="1" applyFont="1" applyBorder="1"/>
    <xf numFmtId="0" fontId="0" fillId="0" borderId="46" xfId="0" applyBorder="1"/>
    <xf numFmtId="0" fontId="0" fillId="0" borderId="47" xfId="0" applyBorder="1"/>
    <xf numFmtId="170" fontId="2" fillId="0" borderId="31" xfId="0" applyNumberFormat="1" applyFont="1" applyBorder="1" applyAlignment="1">
      <alignment horizontal="center"/>
    </xf>
    <xf numFmtId="0" fontId="31" fillId="10" borderId="31" xfId="0" applyFont="1" applyFill="1" applyBorder="1"/>
    <xf numFmtId="43" fontId="2" fillId="0" borderId="0" xfId="0" applyNumberFormat="1" applyFont="1" applyBorder="1"/>
    <xf numFmtId="165" fontId="2" fillId="0" borderId="59" xfId="1" applyNumberFormat="1" applyFont="1" applyBorder="1"/>
    <xf numFmtId="9" fontId="33" fillId="4" borderId="0" xfId="0" applyNumberFormat="1" applyFont="1" applyFill="1" applyBorder="1" applyAlignment="1">
      <alignment vertical="center"/>
    </xf>
    <xf numFmtId="9" fontId="35" fillId="4" borderId="0" xfId="0" applyNumberFormat="1" applyFont="1" applyFill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169" fontId="29" fillId="0" borderId="9" xfId="1" applyNumberFormat="1" applyFont="1" applyFill="1" applyBorder="1" applyAlignment="1">
      <alignment vertical="center"/>
    </xf>
    <xf numFmtId="0" fontId="2" fillId="0" borderId="5" xfId="0" applyFont="1" applyBorder="1"/>
    <xf numFmtId="167" fontId="29" fillId="0" borderId="9" xfId="0" applyNumberFormat="1" applyFont="1" applyBorder="1"/>
    <xf numFmtId="0" fontId="11" fillId="3" borderId="0" xfId="0" applyFont="1" applyFill="1" applyBorder="1"/>
    <xf numFmtId="166" fontId="11" fillId="3" borderId="0" xfId="2" applyNumberFormat="1" applyFont="1" applyFill="1" applyBorder="1" applyAlignment="1">
      <alignment horizontal="center"/>
    </xf>
    <xf numFmtId="166" fontId="11" fillId="2" borderId="0" xfId="2" applyNumberFormat="1" applyFont="1" applyFill="1" applyBorder="1" applyAlignment="1">
      <alignment horizontal="center"/>
    </xf>
    <xf numFmtId="9" fontId="14" fillId="0" borderId="0" xfId="2" applyFont="1" applyFill="1" applyBorder="1" applyAlignment="1">
      <alignment horizontal="center"/>
    </xf>
    <xf numFmtId="9" fontId="8" fillId="7" borderId="0" xfId="2" applyFont="1" applyFill="1" applyBorder="1" applyAlignment="1">
      <alignment horizontal="center" vertical="center"/>
    </xf>
    <xf numFmtId="0" fontId="8" fillId="8" borderId="0" xfId="0" applyFont="1" applyFill="1" applyBorder="1"/>
    <xf numFmtId="9" fontId="8" fillId="8" borderId="0" xfId="2" applyFont="1" applyFill="1" applyBorder="1" applyAlignment="1">
      <alignment horizontal="center" vertical="center"/>
    </xf>
    <xf numFmtId="0" fontId="2" fillId="0" borderId="61" xfId="0" applyFont="1" applyBorder="1"/>
    <xf numFmtId="0" fontId="8" fillId="0" borderId="65" xfId="0" applyFont="1" applyBorder="1" applyAlignment="1">
      <alignment horizontal="left" vertical="center"/>
    </xf>
    <xf numFmtId="168" fontId="2" fillId="0" borderId="8" xfId="0" applyNumberFormat="1" applyFont="1" applyBorder="1"/>
    <xf numFmtId="9" fontId="2" fillId="0" borderId="6" xfId="2" applyFont="1" applyBorder="1"/>
    <xf numFmtId="168" fontId="2" fillId="0" borderId="9" xfId="0" applyNumberFormat="1" applyFont="1" applyBorder="1"/>
    <xf numFmtId="43" fontId="2" fillId="0" borderId="4" xfId="1" applyFont="1" applyBorder="1"/>
    <xf numFmtId="0" fontId="15" fillId="0" borderId="3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9" fontId="2" fillId="0" borderId="9" xfId="2" applyFont="1" applyBorder="1"/>
    <xf numFmtId="10" fontId="33" fillId="6" borderId="0" xfId="2" applyNumberFormat="1" applyFont="1" applyFill="1" applyBorder="1" applyAlignment="1">
      <alignment horizontal="center"/>
    </xf>
    <xf numFmtId="167" fontId="15" fillId="12" borderId="4" xfId="0" applyNumberFormat="1" applyFont="1" applyFill="1" applyBorder="1"/>
    <xf numFmtId="0" fontId="8" fillId="12" borderId="0" xfId="0" applyFont="1" applyFill="1" applyBorder="1"/>
    <xf numFmtId="43" fontId="2" fillId="0" borderId="57" xfId="1" applyNumberFormat="1" applyFont="1" applyBorder="1"/>
    <xf numFmtId="0" fontId="2" fillId="10" borderId="0" xfId="0" applyFont="1" applyFill="1"/>
    <xf numFmtId="1" fontId="2" fillId="0" borderId="31" xfId="0" applyNumberFormat="1" applyFont="1" applyBorder="1"/>
    <xf numFmtId="0" fontId="2" fillId="0" borderId="0" xfId="0" applyFont="1" applyFill="1" applyBorder="1"/>
    <xf numFmtId="170" fontId="2" fillId="0" borderId="0" xfId="0" applyNumberFormat="1" applyFont="1" applyFill="1" applyBorder="1"/>
    <xf numFmtId="170" fontId="31" fillId="0" borderId="0" xfId="0" applyNumberFormat="1" applyFont="1" applyFill="1" applyBorder="1"/>
    <xf numFmtId="166" fontId="2" fillId="0" borderId="47" xfId="2" applyNumberFormat="1" applyFont="1" applyBorder="1"/>
    <xf numFmtId="0" fontId="0" fillId="0" borderId="27" xfId="0" applyBorder="1"/>
    <xf numFmtId="0" fontId="36" fillId="0" borderId="0" xfId="0" applyFont="1"/>
    <xf numFmtId="0" fontId="0" fillId="0" borderId="19" xfId="0" applyBorder="1"/>
    <xf numFmtId="0" fontId="0" fillId="0" borderId="19" xfId="0" applyBorder="1" applyAlignment="1">
      <alignment horizontal="right"/>
    </xf>
    <xf numFmtId="0" fontId="2" fillId="0" borderId="19" xfId="0" applyFont="1" applyBorder="1" applyAlignment="1">
      <alignment horizontal="center" vertical="center" wrapText="1"/>
    </xf>
    <xf numFmtId="0" fontId="2" fillId="0" borderId="19" xfId="0" applyFont="1" applyBorder="1"/>
    <xf numFmtId="0" fontId="2" fillId="0" borderId="19" xfId="0" applyFont="1" applyBorder="1" applyAlignment="1">
      <alignment horizontal="center" wrapText="1"/>
    </xf>
    <xf numFmtId="173" fontId="2" fillId="0" borderId="19" xfId="0" applyNumberFormat="1" applyFont="1" applyBorder="1"/>
    <xf numFmtId="172" fontId="2" fillId="0" borderId="19" xfId="0" applyNumberFormat="1" applyFont="1" applyBorder="1"/>
    <xf numFmtId="169" fontId="11" fillId="0" borderId="0" xfId="1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169" fontId="29" fillId="0" borderId="0" xfId="1" applyNumberFormat="1" applyFont="1" applyFill="1" applyBorder="1" applyAlignment="1">
      <alignment vertical="center"/>
    </xf>
    <xf numFmtId="0" fontId="31" fillId="10" borderId="0" xfId="0" applyFont="1" applyFill="1" applyAlignment="1">
      <alignment horizontal="center"/>
    </xf>
    <xf numFmtId="0" fontId="8" fillId="0" borderId="0" xfId="0" applyFont="1" applyBorder="1" applyAlignment="1">
      <alignment horizontal="center"/>
    </xf>
    <xf numFmtId="0" fontId="7" fillId="10" borderId="0" xfId="0" applyFont="1" applyFill="1" applyAlignment="1">
      <alignment horizontal="center"/>
    </xf>
    <xf numFmtId="0" fontId="0" fillId="13" borderId="19" xfId="0" applyFill="1" applyBorder="1"/>
    <xf numFmtId="0" fontId="8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9" fontId="11" fillId="0" borderId="0" xfId="0" applyNumberFormat="1" applyFont="1" applyFill="1" applyBorder="1" applyAlignment="1">
      <alignment horizontal="center"/>
    </xf>
    <xf numFmtId="169" fontId="29" fillId="0" borderId="0" xfId="1" applyNumberFormat="1" applyFont="1" applyFill="1" applyBorder="1" applyAlignment="1">
      <alignment horizontal="center" vertical="center"/>
    </xf>
    <xf numFmtId="167" fontId="15" fillId="12" borderId="5" xfId="0" applyNumberFormat="1" applyFont="1" applyFill="1" applyBorder="1"/>
    <xf numFmtId="167" fontId="29" fillId="0" borderId="5" xfId="0" applyNumberFormat="1" applyFont="1" applyBorder="1"/>
    <xf numFmtId="0" fontId="7" fillId="10" borderId="0" xfId="0" applyFont="1" applyFill="1" applyAlignment="1">
      <alignment horizontal="left"/>
    </xf>
    <xf numFmtId="0" fontId="31" fillId="10" borderId="19" xfId="0" applyFont="1" applyFill="1" applyBorder="1"/>
    <xf numFmtId="0" fontId="2" fillId="0" borderId="23" xfId="0" applyFont="1" applyBorder="1"/>
    <xf numFmtId="173" fontId="4" fillId="0" borderId="0" xfId="0" applyNumberFormat="1" applyFont="1" applyBorder="1"/>
    <xf numFmtId="0" fontId="4" fillId="0" borderId="0" xfId="0" applyFont="1" applyBorder="1"/>
    <xf numFmtId="0" fontId="31" fillId="10" borderId="23" xfId="0" applyFont="1" applyFill="1" applyBorder="1"/>
    <xf numFmtId="0" fontId="2" fillId="0" borderId="66" xfId="0" applyFont="1" applyBorder="1" applyAlignment="1">
      <alignment horizontal="center"/>
    </xf>
    <xf numFmtId="170" fontId="2" fillId="0" borderId="66" xfId="0" applyNumberFormat="1" applyFont="1" applyBorder="1" applyAlignment="1">
      <alignment horizontal="center"/>
    </xf>
    <xf numFmtId="0" fontId="7" fillId="10" borderId="0" xfId="0" applyFont="1" applyFill="1" applyAlignment="1">
      <alignment horizontal="center"/>
    </xf>
    <xf numFmtId="0" fontId="36" fillId="0" borderId="19" xfId="0" applyFont="1" applyBorder="1" applyAlignment="1">
      <alignment horizontal="right"/>
    </xf>
    <xf numFmtId="0" fontId="0" fillId="8" borderId="19" xfId="0" applyFill="1" applyBorder="1" applyAlignment="1">
      <alignment horizontal="right"/>
    </xf>
    <xf numFmtId="0" fontId="0" fillId="8" borderId="19" xfId="0" applyFill="1" applyBorder="1"/>
    <xf numFmtId="0" fontId="36" fillId="0" borderId="19" xfId="0" applyFont="1" applyBorder="1"/>
    <xf numFmtId="0" fontId="0" fillId="14" borderId="0" xfId="0" applyFill="1"/>
    <xf numFmtId="0" fontId="0" fillId="15" borderId="19" xfId="0" applyFill="1" applyBorder="1"/>
    <xf numFmtId="166" fontId="0" fillId="8" borderId="19" xfId="0" applyNumberFormat="1" applyFill="1" applyBorder="1" applyAlignment="1">
      <alignment horizontal="right"/>
    </xf>
    <xf numFmtId="169" fontId="0" fillId="8" borderId="19" xfId="0" applyNumberFormat="1" applyFill="1" applyBorder="1" applyAlignment="1">
      <alignment horizontal="right"/>
    </xf>
    <xf numFmtId="173" fontId="0" fillId="0" borderId="19" xfId="0" applyNumberFormat="1" applyBorder="1"/>
    <xf numFmtId="166" fontId="36" fillId="0" borderId="19" xfId="0" applyNumberFormat="1" applyFont="1" applyBorder="1"/>
    <xf numFmtId="173" fontId="36" fillId="0" borderId="19" xfId="0" applyNumberFormat="1" applyFont="1" applyBorder="1"/>
    <xf numFmtId="9" fontId="0" fillId="8" borderId="19" xfId="0" applyNumberFormat="1" applyFill="1" applyBorder="1"/>
    <xf numFmtId="0" fontId="36" fillId="0" borderId="0" xfId="0" applyFont="1" applyBorder="1"/>
    <xf numFmtId="173" fontId="36" fillId="0" borderId="27" xfId="0" applyNumberFormat="1" applyFont="1" applyBorder="1"/>
    <xf numFmtId="1" fontId="2" fillId="0" borderId="0" xfId="0" applyNumberFormat="1" applyFont="1" applyFill="1" applyBorder="1"/>
    <xf numFmtId="174" fontId="2" fillId="0" borderId="0" xfId="1" applyNumberFormat="1" applyFont="1" applyFill="1" applyBorder="1"/>
    <xf numFmtId="171" fontId="2" fillId="0" borderId="0" xfId="0" applyNumberFormat="1" applyFont="1" applyFill="1" applyBorder="1"/>
    <xf numFmtId="0" fontId="32" fillId="0" borderId="0" xfId="0" applyFont="1" applyFill="1" applyBorder="1"/>
    <xf numFmtId="174" fontId="2" fillId="0" borderId="0" xfId="0" applyNumberFormat="1" applyFont="1" applyFill="1" applyBorder="1"/>
    <xf numFmtId="1" fontId="2" fillId="0" borderId="0" xfId="1" applyNumberFormat="1" applyFont="1" applyFill="1" applyBorder="1"/>
    <xf numFmtId="0" fontId="0" fillId="0" borderId="0" xfId="0" applyFill="1" applyBorder="1"/>
    <xf numFmtId="2" fontId="12" fillId="0" borderId="0" xfId="3" applyNumberFormat="1" applyFont="1" applyFill="1" applyBorder="1"/>
    <xf numFmtId="171" fontId="2" fillId="0" borderId="0" xfId="3" applyNumberFormat="1" applyFont="1" applyFill="1" applyBorder="1"/>
    <xf numFmtId="0" fontId="7" fillId="0" borderId="0" xfId="0" applyFont="1" applyFill="1" applyBorder="1"/>
    <xf numFmtId="0" fontId="38" fillId="0" borderId="0" xfId="0" applyFont="1"/>
    <xf numFmtId="2" fontId="38" fillId="0" borderId="0" xfId="0" applyNumberFormat="1" applyFont="1" applyAlignment="1">
      <alignment horizontal="center"/>
    </xf>
    <xf numFmtId="2" fontId="41" fillId="0" borderId="0" xfId="0" applyNumberFormat="1" applyFont="1" applyAlignment="1">
      <alignment horizontal="center"/>
    </xf>
    <xf numFmtId="2" fontId="41" fillId="0" borderId="0" xfId="0" applyNumberFormat="1" applyFont="1" applyAlignment="1">
      <alignment horizontal="left"/>
    </xf>
    <xf numFmtId="0" fontId="41" fillId="0" borderId="0" xfId="0" applyFont="1"/>
    <xf numFmtId="0" fontId="42" fillId="0" borderId="70" xfId="0" applyFont="1" applyBorder="1"/>
    <xf numFmtId="4" fontId="41" fillId="0" borderId="70" xfId="0" applyNumberFormat="1" applyFont="1" applyBorder="1"/>
    <xf numFmtId="0" fontId="43" fillId="0" borderId="70" xfId="0" applyFont="1" applyBorder="1"/>
    <xf numFmtId="0" fontId="38" fillId="19" borderId="0" xfId="0" applyFont="1" applyFill="1"/>
    <xf numFmtId="4" fontId="38" fillId="19" borderId="0" xfId="0" applyNumberFormat="1" applyFont="1" applyFill="1"/>
    <xf numFmtId="0" fontId="43" fillId="20" borderId="70" xfId="0" applyFont="1" applyFill="1" applyBorder="1"/>
    <xf numFmtId="3" fontId="41" fillId="0" borderId="70" xfId="0" applyNumberFormat="1" applyFont="1" applyBorder="1"/>
    <xf numFmtId="0" fontId="38" fillId="0" borderId="70" xfId="0" applyFont="1" applyBorder="1"/>
    <xf numFmtId="9" fontId="41" fillId="0" borderId="70" xfId="2" applyFont="1" applyFill="1" applyBorder="1"/>
    <xf numFmtId="0" fontId="41" fillId="0" borderId="70" xfId="0" applyFont="1" applyBorder="1"/>
    <xf numFmtId="166" fontId="41" fillId="0" borderId="70" xfId="0" applyNumberFormat="1" applyFont="1" applyBorder="1"/>
    <xf numFmtId="10" fontId="41" fillId="0" borderId="70" xfId="0" applyNumberFormat="1" applyFont="1" applyBorder="1"/>
    <xf numFmtId="175" fontId="41" fillId="0" borderId="70" xfId="0" applyNumberFormat="1" applyFont="1" applyBorder="1"/>
    <xf numFmtId="10" fontId="38" fillId="0" borderId="0" xfId="0" applyNumberFormat="1" applyFont="1"/>
    <xf numFmtId="2" fontId="38" fillId="0" borderId="0" xfId="0" applyNumberFormat="1" applyFont="1"/>
    <xf numFmtId="165" fontId="38" fillId="0" borderId="0" xfId="1" applyNumberFormat="1" applyFont="1"/>
    <xf numFmtId="3" fontId="38" fillId="0" borderId="0" xfId="0" applyNumberFormat="1" applyFont="1"/>
    <xf numFmtId="10" fontId="38" fillId="0" borderId="0" xfId="2" applyNumberFormat="1" applyFont="1"/>
    <xf numFmtId="0" fontId="43" fillId="0" borderId="0" xfId="0" applyFont="1"/>
    <xf numFmtId="0" fontId="45" fillId="0" borderId="0" xfId="0" applyFont="1"/>
    <xf numFmtId="0" fontId="43" fillId="0" borderId="0" xfId="0" applyFont="1" applyAlignment="1">
      <alignment horizontal="left"/>
    </xf>
    <xf numFmtId="0" fontId="40" fillId="17" borderId="23" xfId="0" applyFont="1" applyFill="1" applyBorder="1" applyAlignment="1">
      <alignment horizontal="center"/>
    </xf>
    <xf numFmtId="0" fontId="46" fillId="16" borderId="70" xfId="0" applyFont="1" applyFill="1" applyBorder="1"/>
    <xf numFmtId="0" fontId="47" fillId="16" borderId="70" xfId="0" applyFont="1" applyFill="1" applyBorder="1"/>
    <xf numFmtId="0" fontId="46" fillId="16" borderId="70" xfId="0" applyFont="1" applyFill="1" applyBorder="1" applyAlignment="1">
      <alignment horizontal="center"/>
    </xf>
    <xf numFmtId="0" fontId="48" fillId="0" borderId="0" xfId="0" applyFont="1"/>
    <xf numFmtId="0" fontId="38" fillId="19" borderId="70" xfId="0" applyFont="1" applyFill="1" applyBorder="1"/>
    <xf numFmtId="176" fontId="38" fillId="0" borderId="70" xfId="0" applyNumberFormat="1" applyFont="1" applyBorder="1"/>
    <xf numFmtId="0" fontId="38" fillId="0" borderId="70" xfId="0" applyFont="1" applyBorder="1" applyAlignment="1">
      <alignment horizontal="center"/>
    </xf>
    <xf numFmtId="176" fontId="38" fillId="19" borderId="70" xfId="0" applyNumberFormat="1" applyFont="1" applyFill="1" applyBorder="1"/>
    <xf numFmtId="10" fontId="38" fillId="19" borderId="70" xfId="2" applyNumberFormat="1" applyFont="1" applyFill="1" applyBorder="1" applyAlignment="1"/>
    <xf numFmtId="166" fontId="38" fillId="19" borderId="70" xfId="2" applyNumberFormat="1" applyFont="1" applyFill="1" applyBorder="1" applyAlignment="1"/>
    <xf numFmtId="175" fontId="38" fillId="19" borderId="70" xfId="0" applyNumberFormat="1" applyFont="1" applyFill="1" applyBorder="1"/>
    <xf numFmtId="0" fontId="38" fillId="19" borderId="70" xfId="0" applyFont="1" applyFill="1" applyBorder="1" applyAlignment="1">
      <alignment horizontal="center"/>
    </xf>
    <xf numFmtId="177" fontId="38" fillId="0" borderId="70" xfId="0" applyNumberFormat="1" applyFont="1" applyBorder="1"/>
    <xf numFmtId="177" fontId="38" fillId="19" borderId="70" xfId="0" applyNumberFormat="1" applyFont="1" applyFill="1" applyBorder="1"/>
    <xf numFmtId="0" fontId="49" fillId="19" borderId="70" xfId="0" applyFont="1" applyFill="1" applyBorder="1" applyAlignment="1">
      <alignment horizontal="right"/>
    </xf>
    <xf numFmtId="10" fontId="38" fillId="19" borderId="70" xfId="0" applyNumberFormat="1" applyFont="1" applyFill="1" applyBorder="1"/>
    <xf numFmtId="178" fontId="38" fillId="19" borderId="70" xfId="0" applyNumberFormat="1" applyFont="1" applyFill="1" applyBorder="1"/>
    <xf numFmtId="10" fontId="38" fillId="19" borderId="70" xfId="0" applyNumberFormat="1" applyFont="1" applyFill="1" applyBorder="1" applyAlignment="1">
      <alignment horizontal="left"/>
    </xf>
    <xf numFmtId="0" fontId="38" fillId="19" borderId="70" xfId="0" applyFont="1" applyFill="1" applyBorder="1" applyAlignment="1">
      <alignment horizontal="right"/>
    </xf>
    <xf numFmtId="176" fontId="46" fillId="16" borderId="70" xfId="0" applyNumberFormat="1" applyFont="1" applyFill="1" applyBorder="1"/>
    <xf numFmtId="179" fontId="38" fillId="0" borderId="70" xfId="1" applyNumberFormat="1" applyFont="1" applyFill="1" applyBorder="1"/>
    <xf numFmtId="3" fontId="38" fillId="0" borderId="70" xfId="0" applyNumberFormat="1" applyFont="1" applyBorder="1"/>
    <xf numFmtId="8" fontId="38" fillId="0" borderId="70" xfId="0" applyNumberFormat="1" applyFont="1" applyBorder="1"/>
    <xf numFmtId="178" fontId="50" fillId="19" borderId="70" xfId="0" applyNumberFormat="1" applyFont="1" applyFill="1" applyBorder="1"/>
    <xf numFmtId="3" fontId="46" fillId="16" borderId="70" xfId="0" applyNumberFormat="1" applyFont="1" applyFill="1" applyBorder="1" applyAlignment="1">
      <alignment horizontal="center"/>
    </xf>
    <xf numFmtId="176" fontId="39" fillId="16" borderId="70" xfId="0" applyNumberFormat="1" applyFont="1" applyFill="1" applyBorder="1"/>
    <xf numFmtId="0" fontId="40" fillId="16" borderId="70" xfId="0" applyFont="1" applyFill="1" applyBorder="1"/>
    <xf numFmtId="180" fontId="51" fillId="18" borderId="70" xfId="3" applyNumberFormat="1" applyFont="1" applyFill="1" applyBorder="1" applyAlignment="1">
      <alignment horizontal="center"/>
    </xf>
    <xf numFmtId="9" fontId="48" fillId="0" borderId="0" xfId="2" applyFont="1"/>
    <xf numFmtId="10" fontId="51" fillId="18" borderId="70" xfId="0" applyNumberFormat="1" applyFont="1" applyFill="1" applyBorder="1" applyAlignment="1">
      <alignment horizontal="center"/>
    </xf>
    <xf numFmtId="181" fontId="48" fillId="0" borderId="0" xfId="0" applyNumberFormat="1" applyFont="1"/>
    <xf numFmtId="0" fontId="46" fillId="16" borderId="67" xfId="0" applyFont="1" applyFill="1" applyBorder="1"/>
    <xf numFmtId="0" fontId="47" fillId="16" borderId="68" xfId="0" applyFont="1" applyFill="1" applyBorder="1"/>
    <xf numFmtId="10" fontId="51" fillId="18" borderId="69" xfId="0" applyNumberFormat="1" applyFont="1" applyFill="1" applyBorder="1" applyAlignment="1">
      <alignment horizontal="center"/>
    </xf>
    <xf numFmtId="0" fontId="52" fillId="16" borderId="70" xfId="0" applyFont="1" applyFill="1" applyBorder="1"/>
    <xf numFmtId="0" fontId="53" fillId="16" borderId="70" xfId="0" applyFont="1" applyFill="1" applyBorder="1"/>
    <xf numFmtId="1" fontId="54" fillId="18" borderId="70" xfId="0" applyNumberFormat="1" applyFont="1" applyFill="1" applyBorder="1" applyAlignment="1">
      <alignment horizontal="center"/>
    </xf>
    <xf numFmtId="0" fontId="39" fillId="0" borderId="0" xfId="0" applyFont="1"/>
    <xf numFmtId="0" fontId="40" fillId="0" borderId="0" xfId="0" applyFont="1"/>
    <xf numFmtId="10" fontId="41" fillId="0" borderId="0" xfId="0" applyNumberFormat="1" applyFont="1" applyAlignment="1">
      <alignment horizontal="center"/>
    </xf>
    <xf numFmtId="20" fontId="43" fillId="0" borderId="0" xfId="0" applyNumberFormat="1" applyFont="1"/>
    <xf numFmtId="9" fontId="41" fillId="0" borderId="70" xfId="0" applyNumberFormat="1" applyFont="1" applyBorder="1"/>
    <xf numFmtId="3" fontId="38" fillId="19" borderId="70" xfId="0" applyNumberFormat="1" applyFont="1" applyFill="1" applyBorder="1"/>
    <xf numFmtId="0" fontId="38" fillId="0" borderId="72" xfId="0" applyFont="1" applyBorder="1" applyAlignment="1">
      <alignment horizontal="center"/>
    </xf>
    <xf numFmtId="176" fontId="38" fillId="0" borderId="72" xfId="0" applyNumberFormat="1" applyFont="1" applyBorder="1"/>
    <xf numFmtId="0" fontId="0" fillId="0" borderId="71" xfId="0" applyBorder="1"/>
    <xf numFmtId="0" fontId="38" fillId="19" borderId="72" xfId="0" applyFont="1" applyFill="1" applyBorder="1"/>
    <xf numFmtId="0" fontId="38" fillId="0" borderId="72" xfId="0" applyFont="1" applyBorder="1"/>
    <xf numFmtId="0" fontId="38" fillId="19" borderId="72" xfId="0" applyFont="1" applyFill="1" applyBorder="1" applyAlignment="1">
      <alignment horizontal="right"/>
    </xf>
    <xf numFmtId="175" fontId="38" fillId="19" borderId="72" xfId="0" applyNumberFormat="1" applyFont="1" applyFill="1" applyBorder="1"/>
    <xf numFmtId="0" fontId="38" fillId="19" borderId="72" xfId="0" applyFont="1" applyFill="1" applyBorder="1" applyAlignment="1">
      <alignment horizontal="center"/>
    </xf>
    <xf numFmtId="176" fontId="38" fillId="19" borderId="72" xfId="0" applyNumberFormat="1" applyFont="1" applyFill="1" applyBorder="1"/>
    <xf numFmtId="0" fontId="38" fillId="19" borderId="73" xfId="0" applyFont="1" applyFill="1" applyBorder="1"/>
    <xf numFmtId="0" fontId="38" fillId="0" borderId="73" xfId="0" applyFont="1" applyBorder="1"/>
    <xf numFmtId="0" fontId="38" fillId="19" borderId="73" xfId="0" applyFont="1" applyFill="1" applyBorder="1" applyAlignment="1">
      <alignment horizontal="right"/>
    </xf>
    <xf numFmtId="175" fontId="38" fillId="19" borderId="73" xfId="0" applyNumberFormat="1" applyFont="1" applyFill="1" applyBorder="1"/>
    <xf numFmtId="0" fontId="38" fillId="19" borderId="73" xfId="0" applyFont="1" applyFill="1" applyBorder="1" applyAlignment="1">
      <alignment horizontal="center"/>
    </xf>
    <xf numFmtId="176" fontId="38" fillId="19" borderId="73" xfId="0" applyNumberFormat="1" applyFont="1" applyFill="1" applyBorder="1"/>
    <xf numFmtId="0" fontId="38" fillId="19" borderId="74" xfId="0" applyFont="1" applyFill="1" applyBorder="1"/>
    <xf numFmtId="0" fontId="38" fillId="0" borderId="74" xfId="0" applyFont="1" applyBorder="1"/>
    <xf numFmtId="0" fontId="38" fillId="19" borderId="74" xfId="0" applyFont="1" applyFill="1" applyBorder="1" applyAlignment="1">
      <alignment horizontal="right"/>
    </xf>
    <xf numFmtId="175" fontId="38" fillId="19" borderId="74" xfId="0" applyNumberFormat="1" applyFont="1" applyFill="1" applyBorder="1"/>
    <xf numFmtId="176" fontId="38" fillId="19" borderId="74" xfId="0" applyNumberFormat="1" applyFont="1" applyFill="1" applyBorder="1"/>
    <xf numFmtId="169" fontId="0" fillId="0" borderId="19" xfId="0" applyNumberFormat="1" applyBorder="1"/>
    <xf numFmtId="0" fontId="2" fillId="0" borderId="75" xfId="0" applyFont="1" applyBorder="1"/>
    <xf numFmtId="175" fontId="2" fillId="0" borderId="75" xfId="0" applyNumberFormat="1" applyFont="1" applyBorder="1"/>
    <xf numFmtId="0" fontId="2" fillId="0" borderId="75" xfId="0" applyFont="1" applyFill="1" applyBorder="1"/>
    <xf numFmtId="165" fontId="2" fillId="0" borderId="75" xfId="1" applyNumberFormat="1" applyFont="1" applyBorder="1"/>
    <xf numFmtId="165" fontId="4" fillId="0" borderId="75" xfId="1" applyNumberFormat="1" applyFont="1" applyBorder="1"/>
    <xf numFmtId="182" fontId="2" fillId="0" borderId="19" xfId="0" applyNumberFormat="1" applyFont="1" applyBorder="1"/>
    <xf numFmtId="175" fontId="2" fillId="0" borderId="19" xfId="0" applyNumberFormat="1" applyFont="1" applyBorder="1"/>
    <xf numFmtId="0" fontId="57" fillId="0" borderId="0" xfId="0" applyFont="1" applyAlignment="1">
      <alignment horizontal="right"/>
    </xf>
    <xf numFmtId="173" fontId="2" fillId="0" borderId="23" xfId="0" applyNumberFormat="1" applyFont="1" applyBorder="1"/>
    <xf numFmtId="2" fontId="2" fillId="0" borderId="0" xfId="0" applyNumberFormat="1" applyFont="1" applyBorder="1"/>
    <xf numFmtId="173" fontId="2" fillId="0" borderId="0" xfId="0" applyNumberFormat="1" applyFont="1" applyBorder="1"/>
    <xf numFmtId="2" fontId="2" fillId="0" borderId="23" xfId="0" applyNumberFormat="1" applyFont="1" applyBorder="1"/>
    <xf numFmtId="182" fontId="2" fillId="0" borderId="23" xfId="0" applyNumberFormat="1" applyFont="1" applyBorder="1"/>
    <xf numFmtId="173" fontId="2" fillId="0" borderId="0" xfId="0" applyNumberFormat="1" applyFont="1" applyFill="1" applyBorder="1"/>
    <xf numFmtId="172" fontId="2" fillId="0" borderId="0" xfId="0" applyNumberFormat="1" applyFont="1" applyFill="1" applyBorder="1"/>
    <xf numFmtId="167" fontId="0" fillId="0" borderId="19" xfId="0" applyNumberFormat="1" applyBorder="1"/>
    <xf numFmtId="182" fontId="0" fillId="0" borderId="27" xfId="0" applyNumberFormat="1" applyBorder="1"/>
    <xf numFmtId="183" fontId="0" fillId="0" borderId="19" xfId="0" applyNumberFormat="1" applyBorder="1"/>
    <xf numFmtId="0" fontId="43" fillId="5" borderId="70" xfId="0" applyFont="1" applyFill="1" applyBorder="1"/>
    <xf numFmtId="10" fontId="41" fillId="5" borderId="70" xfId="0" applyNumberFormat="1" applyFont="1" applyFill="1" applyBorder="1"/>
    <xf numFmtId="0" fontId="44" fillId="5" borderId="70" xfId="4" applyFont="1" applyFill="1" applyBorder="1" applyAlignment="1" applyProtection="1"/>
    <xf numFmtId="0" fontId="38" fillId="5" borderId="0" xfId="0" applyFont="1" applyFill="1"/>
    <xf numFmtId="0" fontId="43" fillId="5" borderId="0" xfId="0" applyFont="1" applyFill="1"/>
    <xf numFmtId="0" fontId="38" fillId="19" borderId="76" xfId="0" applyFont="1" applyFill="1" applyBorder="1"/>
    <xf numFmtId="0" fontId="38" fillId="0" borderId="76" xfId="0" applyFont="1" applyBorder="1"/>
    <xf numFmtId="0" fontId="38" fillId="19" borderId="76" xfId="0" applyFont="1" applyFill="1" applyBorder="1" applyAlignment="1">
      <alignment horizontal="right"/>
    </xf>
    <xf numFmtId="175" fontId="38" fillId="19" borderId="76" xfId="0" applyNumberFormat="1" applyFont="1" applyFill="1" applyBorder="1"/>
    <xf numFmtId="0" fontId="38" fillId="19" borderId="76" xfId="0" applyFont="1" applyFill="1" applyBorder="1" applyAlignment="1">
      <alignment horizontal="center"/>
    </xf>
    <xf numFmtId="176" fontId="38" fillId="19" borderId="76" xfId="0" applyNumberFormat="1" applyFont="1" applyFill="1" applyBorder="1"/>
    <xf numFmtId="0" fontId="31" fillId="10" borderId="0" xfId="0" applyFont="1" applyFill="1" applyAlignment="1">
      <alignment horizontal="center"/>
    </xf>
    <xf numFmtId="0" fontId="2" fillId="0" borderId="19" xfId="0" applyFont="1" applyFill="1" applyBorder="1"/>
    <xf numFmtId="1" fontId="2" fillId="0" borderId="19" xfId="0" applyNumberFormat="1" applyFont="1" applyBorder="1"/>
    <xf numFmtId="1" fontId="2" fillId="0" borderId="19" xfId="0" applyNumberFormat="1" applyFont="1" applyFill="1" applyBorder="1"/>
    <xf numFmtId="0" fontId="20" fillId="3" borderId="0" xfId="0" applyFont="1" applyFill="1" applyAlignment="1">
      <alignment horizontal="center"/>
    </xf>
    <xf numFmtId="0" fontId="20" fillId="9" borderId="0" xfId="0" applyFont="1" applyFill="1" applyAlignment="1">
      <alignment horizontal="center"/>
    </xf>
    <xf numFmtId="0" fontId="20" fillId="4" borderId="0" xfId="0" applyFont="1" applyFill="1" applyAlignment="1">
      <alignment horizontal="center"/>
    </xf>
    <xf numFmtId="0" fontId="23" fillId="0" borderId="10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/>
    </xf>
    <xf numFmtId="0" fontId="23" fillId="0" borderId="11" xfId="0" applyFont="1" applyBorder="1" applyAlignment="1">
      <alignment horizontal="center"/>
    </xf>
    <xf numFmtId="0" fontId="25" fillId="0" borderId="10" xfId="0" applyFont="1" applyBorder="1" applyAlignment="1">
      <alignment horizontal="center" vertical="center" textRotation="90" wrapText="1"/>
    </xf>
    <xf numFmtId="0" fontId="25" fillId="0" borderId="13" xfId="0" applyFont="1" applyBorder="1" applyAlignment="1">
      <alignment horizontal="center" vertical="center" textRotation="90" wrapText="1"/>
    </xf>
    <xf numFmtId="0" fontId="25" fillId="0" borderId="15" xfId="0" applyFont="1" applyBorder="1" applyAlignment="1">
      <alignment horizontal="center" vertical="center" textRotation="90" wrapText="1"/>
    </xf>
    <xf numFmtId="0" fontId="25" fillId="0" borderId="22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left" vertical="top"/>
    </xf>
    <xf numFmtId="0" fontId="6" fillId="3" borderId="0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31" fillId="3" borderId="40" xfId="0" applyFont="1" applyFill="1" applyBorder="1" applyAlignment="1">
      <alignment horizontal="center"/>
    </xf>
    <xf numFmtId="0" fontId="31" fillId="3" borderId="41" xfId="0" applyFont="1" applyFill="1" applyBorder="1" applyAlignment="1">
      <alignment horizontal="center"/>
    </xf>
    <xf numFmtId="0" fontId="31" fillId="3" borderId="42" xfId="0" applyFont="1" applyFill="1" applyBorder="1" applyAlignment="1">
      <alignment horizontal="center"/>
    </xf>
    <xf numFmtId="0" fontId="34" fillId="3" borderId="62" xfId="0" applyFont="1" applyFill="1" applyBorder="1" applyAlignment="1">
      <alignment horizontal="center" vertical="center" textRotation="90"/>
    </xf>
    <xf numFmtId="0" fontId="34" fillId="3" borderId="63" xfId="0" applyFont="1" applyFill="1" applyBorder="1" applyAlignment="1">
      <alignment horizontal="center" vertical="center" textRotation="90"/>
    </xf>
    <xf numFmtId="0" fontId="34" fillId="3" borderId="64" xfId="0" applyFont="1" applyFill="1" applyBorder="1" applyAlignment="1">
      <alignment horizontal="center" vertical="center" textRotation="90"/>
    </xf>
    <xf numFmtId="0" fontId="34" fillId="3" borderId="40" xfId="0" applyFont="1" applyFill="1" applyBorder="1" applyAlignment="1">
      <alignment horizontal="center" vertical="center"/>
    </xf>
    <xf numFmtId="0" fontId="34" fillId="3" borderId="41" xfId="0" applyFont="1" applyFill="1" applyBorder="1" applyAlignment="1">
      <alignment horizontal="center" vertical="center"/>
    </xf>
    <xf numFmtId="0" fontId="34" fillId="3" borderId="42" xfId="0" applyFont="1" applyFill="1" applyBorder="1" applyAlignment="1">
      <alignment horizontal="center" vertical="center"/>
    </xf>
    <xf numFmtId="0" fontId="34" fillId="3" borderId="43" xfId="0" applyFont="1" applyFill="1" applyBorder="1" applyAlignment="1">
      <alignment horizontal="center" vertical="center"/>
    </xf>
    <xf numFmtId="0" fontId="34" fillId="3" borderId="0" xfId="0" applyFont="1" applyFill="1" applyBorder="1" applyAlignment="1">
      <alignment horizontal="center" vertical="center"/>
    </xf>
    <xf numFmtId="0" fontId="34" fillId="3" borderId="44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9" fillId="5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top" wrapText="1"/>
    </xf>
    <xf numFmtId="0" fontId="12" fillId="5" borderId="0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top" wrapText="1"/>
    </xf>
    <xf numFmtId="0" fontId="8" fillId="5" borderId="0" xfId="0" applyFont="1" applyFill="1" applyBorder="1" applyAlignment="1">
      <alignment horizontal="center"/>
    </xf>
    <xf numFmtId="0" fontId="31" fillId="11" borderId="32" xfId="0" applyFont="1" applyFill="1" applyBorder="1" applyAlignment="1">
      <alignment horizontal="center" vertical="top"/>
    </xf>
    <xf numFmtId="0" fontId="31" fillId="11" borderId="33" xfId="0" applyFont="1" applyFill="1" applyBorder="1" applyAlignment="1">
      <alignment horizontal="center" vertical="top"/>
    </xf>
    <xf numFmtId="0" fontId="31" fillId="11" borderId="34" xfId="0" applyFont="1" applyFill="1" applyBorder="1" applyAlignment="1">
      <alignment horizontal="center" vertical="top"/>
    </xf>
    <xf numFmtId="0" fontId="7" fillId="1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center"/>
    </xf>
    <xf numFmtId="0" fontId="31" fillId="0" borderId="0" xfId="0" applyFont="1" applyFill="1" applyBorder="1" applyAlignment="1">
      <alignment horizontal="center"/>
    </xf>
    <xf numFmtId="0" fontId="31" fillId="10" borderId="0" xfId="0" applyFont="1" applyFill="1" applyAlignment="1">
      <alignment horizontal="center"/>
    </xf>
    <xf numFmtId="0" fontId="4" fillId="0" borderId="40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2" fillId="0" borderId="58" xfId="0" applyFont="1" applyBorder="1" applyAlignment="1">
      <alignment horizontal="left"/>
    </xf>
    <xf numFmtId="0" fontId="2" fillId="0" borderId="60" xfId="0" applyFont="1" applyBorder="1" applyAlignment="1">
      <alignment horizontal="left"/>
    </xf>
    <xf numFmtId="0" fontId="32" fillId="2" borderId="50" xfId="0" applyFont="1" applyFill="1" applyBorder="1" applyAlignment="1">
      <alignment horizontal="center"/>
    </xf>
    <xf numFmtId="0" fontId="32" fillId="2" borderId="51" xfId="0" applyFont="1" applyFill="1" applyBorder="1" applyAlignment="1">
      <alignment horizontal="center"/>
    </xf>
    <xf numFmtId="0" fontId="32" fillId="2" borderId="52" xfId="0" applyFont="1" applyFill="1" applyBorder="1" applyAlignment="1">
      <alignment horizontal="center"/>
    </xf>
    <xf numFmtId="0" fontId="32" fillId="2" borderId="56" xfId="0" applyFont="1" applyFill="1" applyBorder="1" applyAlignment="1">
      <alignment horizontal="center"/>
    </xf>
    <xf numFmtId="0" fontId="32" fillId="2" borderId="57" xfId="0" applyFont="1" applyFill="1" applyBorder="1" applyAlignment="1">
      <alignment horizontal="center"/>
    </xf>
    <xf numFmtId="0" fontId="32" fillId="11" borderId="32" xfId="0" applyFont="1" applyFill="1" applyBorder="1" applyAlignment="1">
      <alignment horizontal="center"/>
    </xf>
    <xf numFmtId="0" fontId="32" fillId="11" borderId="34" xfId="0" applyFont="1" applyFill="1" applyBorder="1" applyAlignment="1">
      <alignment horizontal="center"/>
    </xf>
  </cellXfs>
  <cellStyles count="5">
    <cellStyle name="Collegamento ipertestuale" xfId="4" builtinId="8"/>
    <cellStyle name="Migliaia" xfId="1" builtinId="3"/>
    <cellStyle name="Normale" xfId="0" builtinId="0"/>
    <cellStyle name="Percentuale" xfId="2" builtinId="5"/>
    <cellStyle name="Valuta" xfId="3" builtinId="4"/>
  </cellStyles>
  <dxfs count="3">
    <dxf>
      <fill>
        <patternFill>
          <bgColor rgb="FFFFC000"/>
        </patternFill>
      </fill>
    </dxf>
    <dxf>
      <fill>
        <patternFill>
          <bgColor theme="7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'[1]SIMULAZIONE ORC_CAR_solo riscal'!$U$4:$U$15</c:f>
              <c:numCache>
                <c:formatCode>General</c:formatCode>
                <c:ptCount val="12"/>
                <c:pt idx="0">
                  <c:v>730</c:v>
                </c:pt>
                <c:pt idx="1">
                  <c:v>1460</c:v>
                </c:pt>
                <c:pt idx="2">
                  <c:v>2190</c:v>
                </c:pt>
                <c:pt idx="3">
                  <c:v>2920</c:v>
                </c:pt>
                <c:pt idx="4">
                  <c:v>3650</c:v>
                </c:pt>
                <c:pt idx="5">
                  <c:v>4380</c:v>
                </c:pt>
                <c:pt idx="6">
                  <c:v>5110</c:v>
                </c:pt>
                <c:pt idx="7">
                  <c:v>5840</c:v>
                </c:pt>
                <c:pt idx="8">
                  <c:v>6570</c:v>
                </c:pt>
                <c:pt idx="9">
                  <c:v>7300</c:v>
                </c:pt>
                <c:pt idx="10">
                  <c:v>8030</c:v>
                </c:pt>
                <c:pt idx="11">
                  <c:v>8760</c:v>
                </c:pt>
              </c:numCache>
            </c:numRef>
          </c:xVal>
          <c:yVal>
            <c:numRef>
              <c:f>'[1]SIMULAZIONE ORC_CAR_solo riscal'!$V$4:$V$15</c:f>
              <c:numCache>
                <c:formatCode>General</c:formatCode>
                <c:ptCount val="12"/>
                <c:pt idx="0">
                  <c:v>242</c:v>
                </c:pt>
                <c:pt idx="1">
                  <c:v>231</c:v>
                </c:pt>
                <c:pt idx="2">
                  <c:v>231</c:v>
                </c:pt>
                <c:pt idx="3">
                  <c:v>154</c:v>
                </c:pt>
                <c:pt idx="4">
                  <c:v>143</c:v>
                </c:pt>
                <c:pt idx="5">
                  <c:v>55</c:v>
                </c:pt>
                <c:pt idx="6">
                  <c:v>44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B5-4164-90E3-9EFDABB48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2701695"/>
        <c:axId val="962685471"/>
      </c:scatterChart>
      <c:valAx>
        <c:axId val="9627016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62685471"/>
        <c:crosses val="autoZero"/>
        <c:crossBetween val="midCat"/>
      </c:valAx>
      <c:valAx>
        <c:axId val="96268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627016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Calcolo!$L$6:$L$11</c:f>
              <c:numCache>
                <c:formatCode>General</c:formatCode>
                <c:ptCount val="6"/>
                <c:pt idx="0">
                  <c:v>0</c:v>
                </c:pt>
                <c:pt idx="1">
                  <c:v>2190</c:v>
                </c:pt>
                <c:pt idx="2">
                  <c:v>3650</c:v>
                </c:pt>
                <c:pt idx="3">
                  <c:v>4380</c:v>
                </c:pt>
                <c:pt idx="4">
                  <c:v>5840</c:v>
                </c:pt>
                <c:pt idx="5">
                  <c:v>8760</c:v>
                </c:pt>
              </c:numCache>
            </c:numRef>
          </c:xVal>
          <c:yVal>
            <c:numRef>
              <c:f>Calcolo!$M$6:$M$11</c:f>
              <c:numCache>
                <c:formatCode>_-* #,##0.000_-;\-* #,##0.000_-;_-* "-"?_-;_-@_-</c:formatCode>
                <c:ptCount val="6"/>
                <c:pt idx="0">
                  <c:v>0.123</c:v>
                </c:pt>
                <c:pt idx="1">
                  <c:v>0.123</c:v>
                </c:pt>
                <c:pt idx="2">
                  <c:v>0.123</c:v>
                </c:pt>
                <c:pt idx="3">
                  <c:v>0.123</c:v>
                </c:pt>
                <c:pt idx="4">
                  <c:v>0.123</c:v>
                </c:pt>
                <c:pt idx="5">
                  <c:v>0.123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58-470C-8FC1-48DE6DD6AF2A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Calcolo!$L$6:$L$11</c:f>
              <c:numCache>
                <c:formatCode>General</c:formatCode>
                <c:ptCount val="6"/>
                <c:pt idx="0">
                  <c:v>0</c:v>
                </c:pt>
                <c:pt idx="1">
                  <c:v>2190</c:v>
                </c:pt>
                <c:pt idx="2">
                  <c:v>3650</c:v>
                </c:pt>
                <c:pt idx="3">
                  <c:v>4380</c:v>
                </c:pt>
                <c:pt idx="4">
                  <c:v>5840</c:v>
                </c:pt>
                <c:pt idx="5">
                  <c:v>8760</c:v>
                </c:pt>
              </c:numCache>
            </c:numRef>
          </c:xVal>
          <c:yVal>
            <c:numRef>
              <c:f>Calcolo!$N$6:$N$11</c:f>
              <c:numCache>
                <c:formatCode>_-* #,##0.000\ _€_-;\-* #,##0.000\ _€_-;_-* "-"??\ _€_-;_-@_-</c:formatCode>
                <c:ptCount val="6"/>
                <c:pt idx="0">
                  <c:v>0.246</c:v>
                </c:pt>
                <c:pt idx="1">
                  <c:v>0.246</c:v>
                </c:pt>
                <c:pt idx="2">
                  <c:v>0.246</c:v>
                </c:pt>
                <c:pt idx="3">
                  <c:v>0.246</c:v>
                </c:pt>
                <c:pt idx="4">
                  <c:v>0.246</c:v>
                </c:pt>
                <c:pt idx="5">
                  <c:v>0.246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058-470C-8FC1-48DE6DD6AF2A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Calcolo!$L$6:$L$11</c:f>
              <c:numCache>
                <c:formatCode>General</c:formatCode>
                <c:ptCount val="6"/>
                <c:pt idx="0">
                  <c:v>0</c:v>
                </c:pt>
                <c:pt idx="1">
                  <c:v>2190</c:v>
                </c:pt>
                <c:pt idx="2">
                  <c:v>3650</c:v>
                </c:pt>
                <c:pt idx="3">
                  <c:v>4380</c:v>
                </c:pt>
                <c:pt idx="4">
                  <c:v>5840</c:v>
                </c:pt>
                <c:pt idx="5">
                  <c:v>8760</c:v>
                </c:pt>
              </c:numCache>
            </c:numRef>
          </c:xVal>
          <c:yVal>
            <c:numRef>
              <c:f>Calcolo!$O$6:$O$11</c:f>
              <c:numCache>
                <c:formatCode>_-* #,##0.000\ _€_-;\-* #,##0.000\ _€_-;_-* "-"??\ _€_-;_-@_-</c:formatCode>
                <c:ptCount val="6"/>
                <c:pt idx="0">
                  <c:v>0.36899999999999999</c:v>
                </c:pt>
                <c:pt idx="1">
                  <c:v>0.36899999999999999</c:v>
                </c:pt>
                <c:pt idx="2">
                  <c:v>0.36899999999999999</c:v>
                </c:pt>
                <c:pt idx="3">
                  <c:v>0.36899999999999999</c:v>
                </c:pt>
                <c:pt idx="4">
                  <c:v>0.36899999999999999</c:v>
                </c:pt>
                <c:pt idx="5">
                  <c:v>0.36899999999999999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058-470C-8FC1-48DE6DD6AF2A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Calcolo!$L$6:$L$11</c:f>
              <c:numCache>
                <c:formatCode>General</c:formatCode>
                <c:ptCount val="6"/>
                <c:pt idx="0">
                  <c:v>0</c:v>
                </c:pt>
                <c:pt idx="1">
                  <c:v>2190</c:v>
                </c:pt>
                <c:pt idx="2">
                  <c:v>3650</c:v>
                </c:pt>
                <c:pt idx="3">
                  <c:v>4380</c:v>
                </c:pt>
                <c:pt idx="4">
                  <c:v>5840</c:v>
                </c:pt>
                <c:pt idx="5">
                  <c:v>8760</c:v>
                </c:pt>
              </c:numCache>
            </c:numRef>
          </c:xVal>
          <c:yVal>
            <c:numRef>
              <c:f>Calcolo!$P$6:$P$11</c:f>
              <c:numCache>
                <c:formatCode>0.000</c:formatCode>
                <c:ptCount val="6"/>
                <c:pt idx="0">
                  <c:v>0.40162500000000001</c:v>
                </c:pt>
                <c:pt idx="1">
                  <c:v>0.38377499999999998</c:v>
                </c:pt>
                <c:pt idx="2">
                  <c:v>0.23799999999999999</c:v>
                </c:pt>
                <c:pt idx="3">
                  <c:v>9.1332499999999997E-2</c:v>
                </c:pt>
                <c:pt idx="4">
                  <c:v>5.2062499999999998E-2</c:v>
                </c:pt>
                <c:pt idx="5">
                  <c:v>5.2062499999999998E-2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058-470C-8FC1-48DE6DD6AF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827648"/>
        <c:axId val="374823072"/>
      </c:scatterChart>
      <c:valAx>
        <c:axId val="374827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74823072"/>
        <c:crosses val="autoZero"/>
        <c:crossBetween val="midCat"/>
      </c:valAx>
      <c:valAx>
        <c:axId val="37482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0_-;\-* #,##0.000_-;_-* &quot;-&quot;?_-;_-@_-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74827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Curva di potenza dei cogeneratori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Curva di durata dei fabbisogni termici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Calcolo!$C$120:$C$130</c:f>
              <c:numCache>
                <c:formatCode>General</c:formatCode>
                <c:ptCount val="11"/>
                <c:pt idx="0">
                  <c:v>0</c:v>
                </c:pt>
                <c:pt idx="1">
                  <c:v>2190</c:v>
                </c:pt>
                <c:pt idx="2">
                  <c:v>2338</c:v>
                </c:pt>
                <c:pt idx="3">
                  <c:v>3570</c:v>
                </c:pt>
                <c:pt idx="4">
                  <c:v>3650</c:v>
                </c:pt>
                <c:pt idx="5">
                  <c:v>4222</c:v>
                </c:pt>
                <c:pt idx="6">
                  <c:v>4380</c:v>
                </c:pt>
                <c:pt idx="7">
                  <c:v>5500</c:v>
                </c:pt>
                <c:pt idx="8">
                  <c:v>5500</c:v>
                </c:pt>
                <c:pt idx="9">
                  <c:v>5840</c:v>
                </c:pt>
                <c:pt idx="10">
                  <c:v>8760</c:v>
                </c:pt>
              </c:numCache>
            </c:numRef>
          </c:xVal>
          <c:yVal>
            <c:numRef>
              <c:f>Calcolo!$D$120:$D$130</c:f>
              <c:numCache>
                <c:formatCode>0</c:formatCode>
                <c:ptCount val="11"/>
                <c:pt idx="0">
                  <c:v>402</c:v>
                </c:pt>
                <c:pt idx="1">
                  <c:v>384</c:v>
                </c:pt>
                <c:pt idx="2">
                  <c:v>369</c:v>
                </c:pt>
                <c:pt idx="3">
                  <c:v>246</c:v>
                </c:pt>
                <c:pt idx="4">
                  <c:v>238</c:v>
                </c:pt>
                <c:pt idx="5">
                  <c:v>123</c:v>
                </c:pt>
                <c:pt idx="6">
                  <c:v>91</c:v>
                </c:pt>
                <c:pt idx="7">
                  <c:v>62</c:v>
                </c:pt>
                <c:pt idx="8">
                  <c:v>62</c:v>
                </c:pt>
                <c:pt idx="9">
                  <c:v>52</c:v>
                </c:pt>
                <c:pt idx="10">
                  <c:v>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7F-41ED-B5FD-EC7D0E30EA92}"/>
            </c:ext>
          </c:extLst>
        </c:ser>
        <c:ser>
          <c:idx val="1"/>
          <c:order val="1"/>
          <c:tx>
            <c:v>cogen 1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Calcolo!$C$120:$C$130</c:f>
              <c:numCache>
                <c:formatCode>General</c:formatCode>
                <c:ptCount val="11"/>
                <c:pt idx="0">
                  <c:v>0</c:v>
                </c:pt>
                <c:pt idx="1">
                  <c:v>2190</c:v>
                </c:pt>
                <c:pt idx="2">
                  <c:v>2338</c:v>
                </c:pt>
                <c:pt idx="3">
                  <c:v>3570</c:v>
                </c:pt>
                <c:pt idx="4">
                  <c:v>3650</c:v>
                </c:pt>
                <c:pt idx="5">
                  <c:v>4222</c:v>
                </c:pt>
                <c:pt idx="6">
                  <c:v>4380</c:v>
                </c:pt>
                <c:pt idx="7">
                  <c:v>5500</c:v>
                </c:pt>
                <c:pt idx="8">
                  <c:v>5500</c:v>
                </c:pt>
                <c:pt idx="9">
                  <c:v>5840</c:v>
                </c:pt>
                <c:pt idx="10">
                  <c:v>8760</c:v>
                </c:pt>
              </c:numCache>
            </c:numRef>
          </c:xVal>
          <c:yVal>
            <c:numRef>
              <c:f>Calcolo!$E$120:$E$130</c:f>
              <c:numCache>
                <c:formatCode>0</c:formatCode>
                <c:ptCount val="11"/>
                <c:pt idx="0">
                  <c:v>123</c:v>
                </c:pt>
                <c:pt idx="1">
                  <c:v>123</c:v>
                </c:pt>
                <c:pt idx="2">
                  <c:v>123</c:v>
                </c:pt>
                <c:pt idx="3">
                  <c:v>123</c:v>
                </c:pt>
                <c:pt idx="4">
                  <c:v>123</c:v>
                </c:pt>
                <c:pt idx="5">
                  <c:v>123</c:v>
                </c:pt>
                <c:pt idx="6">
                  <c:v>91</c:v>
                </c:pt>
                <c:pt idx="7">
                  <c:v>62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B7F-41ED-B5FD-EC7D0E30EA92}"/>
            </c:ext>
          </c:extLst>
        </c:ser>
        <c:ser>
          <c:idx val="2"/>
          <c:order val="2"/>
          <c:tx>
            <c:v>cogen 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Calcolo!$C$120:$C$130</c:f>
              <c:numCache>
                <c:formatCode>General</c:formatCode>
                <c:ptCount val="11"/>
                <c:pt idx="0">
                  <c:v>0</c:v>
                </c:pt>
                <c:pt idx="1">
                  <c:v>2190</c:v>
                </c:pt>
                <c:pt idx="2">
                  <c:v>2338</c:v>
                </c:pt>
                <c:pt idx="3">
                  <c:v>3570</c:v>
                </c:pt>
                <c:pt idx="4">
                  <c:v>3650</c:v>
                </c:pt>
                <c:pt idx="5">
                  <c:v>4222</c:v>
                </c:pt>
                <c:pt idx="6">
                  <c:v>4380</c:v>
                </c:pt>
                <c:pt idx="7">
                  <c:v>5500</c:v>
                </c:pt>
                <c:pt idx="8">
                  <c:v>5500</c:v>
                </c:pt>
                <c:pt idx="9">
                  <c:v>5840</c:v>
                </c:pt>
                <c:pt idx="10">
                  <c:v>8760</c:v>
                </c:pt>
              </c:numCache>
            </c:numRef>
          </c:xVal>
          <c:yVal>
            <c:numRef>
              <c:f>Calcolo!$F$120:$F$130</c:f>
              <c:numCache>
                <c:formatCode>0</c:formatCode>
                <c:ptCount val="11"/>
                <c:pt idx="0">
                  <c:v>246</c:v>
                </c:pt>
                <c:pt idx="1">
                  <c:v>246</c:v>
                </c:pt>
                <c:pt idx="2">
                  <c:v>246</c:v>
                </c:pt>
                <c:pt idx="3">
                  <c:v>246</c:v>
                </c:pt>
                <c:pt idx="4">
                  <c:v>238</c:v>
                </c:pt>
                <c:pt idx="5">
                  <c:v>123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B7F-41ED-B5FD-EC7D0E30EA92}"/>
            </c:ext>
          </c:extLst>
        </c:ser>
        <c:ser>
          <c:idx val="3"/>
          <c:order val="3"/>
          <c:tx>
            <c:v>cogen 3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Calcolo!$C$120:$C$130</c:f>
              <c:numCache>
                <c:formatCode>General</c:formatCode>
                <c:ptCount val="11"/>
                <c:pt idx="0">
                  <c:v>0</c:v>
                </c:pt>
                <c:pt idx="1">
                  <c:v>2190</c:v>
                </c:pt>
                <c:pt idx="2">
                  <c:v>2338</c:v>
                </c:pt>
                <c:pt idx="3">
                  <c:v>3570</c:v>
                </c:pt>
                <c:pt idx="4">
                  <c:v>3650</c:v>
                </c:pt>
                <c:pt idx="5">
                  <c:v>4222</c:v>
                </c:pt>
                <c:pt idx="6">
                  <c:v>4380</c:v>
                </c:pt>
                <c:pt idx="7">
                  <c:v>5500</c:v>
                </c:pt>
                <c:pt idx="8">
                  <c:v>5500</c:v>
                </c:pt>
                <c:pt idx="9">
                  <c:v>5840</c:v>
                </c:pt>
                <c:pt idx="10">
                  <c:v>8760</c:v>
                </c:pt>
              </c:numCache>
            </c:numRef>
          </c:xVal>
          <c:yVal>
            <c:numRef>
              <c:f>Calcolo!$G$120:$G$130</c:f>
              <c:numCache>
                <c:formatCode>0</c:formatCode>
                <c:ptCount val="11"/>
                <c:pt idx="0">
                  <c:v>369</c:v>
                </c:pt>
                <c:pt idx="1">
                  <c:v>369</c:v>
                </c:pt>
                <c:pt idx="2">
                  <c:v>369</c:v>
                </c:pt>
                <c:pt idx="3">
                  <c:v>246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B7F-41ED-B5FD-EC7D0E30E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941791"/>
        <c:axId val="49940127"/>
      </c:scatterChart>
      <c:valAx>
        <c:axId val="49941791"/>
        <c:scaling>
          <c:orientation val="minMax"/>
          <c:max val="876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Ore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9940127"/>
        <c:crosses val="autoZero"/>
        <c:crossBetween val="midCat"/>
      </c:valAx>
      <c:valAx>
        <c:axId val="499401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Potenza termica [kW]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99417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Curva</a:t>
            </a:r>
            <a:r>
              <a:rPr lang="it-IT" baseline="0"/>
              <a:t> dei carichi termici Frais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1212959529643281"/>
          <c:y val="8.0767716535433076E-2"/>
          <c:w val="0.84949324201510823"/>
          <c:h val="0.78909327945848895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Calcolo!$C$120:$C$130</c:f>
              <c:numCache>
                <c:formatCode>General</c:formatCode>
                <c:ptCount val="11"/>
                <c:pt idx="0">
                  <c:v>0</c:v>
                </c:pt>
                <c:pt idx="1">
                  <c:v>2190</c:v>
                </c:pt>
                <c:pt idx="2">
                  <c:v>2338</c:v>
                </c:pt>
                <c:pt idx="3">
                  <c:v>3570</c:v>
                </c:pt>
                <c:pt idx="4">
                  <c:v>3650</c:v>
                </c:pt>
                <c:pt idx="5">
                  <c:v>4222</c:v>
                </c:pt>
                <c:pt idx="6">
                  <c:v>4380</c:v>
                </c:pt>
                <c:pt idx="7">
                  <c:v>5500</c:v>
                </c:pt>
                <c:pt idx="8">
                  <c:v>5500</c:v>
                </c:pt>
                <c:pt idx="9">
                  <c:v>5840</c:v>
                </c:pt>
                <c:pt idx="10">
                  <c:v>8760</c:v>
                </c:pt>
              </c:numCache>
            </c:numRef>
          </c:xVal>
          <c:yVal>
            <c:numRef>
              <c:f>Calcolo!$D$120:$D$130</c:f>
              <c:numCache>
                <c:formatCode>0</c:formatCode>
                <c:ptCount val="11"/>
                <c:pt idx="0">
                  <c:v>402</c:v>
                </c:pt>
                <c:pt idx="1">
                  <c:v>384</c:v>
                </c:pt>
                <c:pt idx="2">
                  <c:v>369</c:v>
                </c:pt>
                <c:pt idx="3">
                  <c:v>246</c:v>
                </c:pt>
                <c:pt idx="4">
                  <c:v>238</c:v>
                </c:pt>
                <c:pt idx="5">
                  <c:v>123</c:v>
                </c:pt>
                <c:pt idx="6">
                  <c:v>91</c:v>
                </c:pt>
                <c:pt idx="7">
                  <c:v>62</c:v>
                </c:pt>
                <c:pt idx="8">
                  <c:v>62</c:v>
                </c:pt>
                <c:pt idx="9">
                  <c:v>52</c:v>
                </c:pt>
                <c:pt idx="10">
                  <c:v>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7B2-479B-9BE5-FAB69345C5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039903"/>
        <c:axId val="53040735"/>
      </c:scatterChart>
      <c:valAx>
        <c:axId val="53039903"/>
        <c:scaling>
          <c:orientation val="minMax"/>
          <c:max val="876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Ore</a:t>
                </a:r>
              </a:p>
            </c:rich>
          </c:tx>
          <c:layout>
            <c:manualLayout>
              <c:xMode val="edge"/>
              <c:yMode val="edge"/>
              <c:x val="0.51949006720420332"/>
              <c:y val="0.928881578947368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3040735"/>
        <c:crosses val="autoZero"/>
        <c:crossBetween val="midCat"/>
      </c:valAx>
      <c:valAx>
        <c:axId val="53040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Potenza termica [kW]</a:t>
                </a:r>
              </a:p>
            </c:rich>
          </c:tx>
          <c:layout>
            <c:manualLayout>
              <c:xMode val="edge"/>
              <c:yMode val="edge"/>
              <c:x val="3.2317636195752536E-2"/>
              <c:y val="0.362342865036607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30399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'Piano economico'!$E$70:$AD$70</c:f>
              <c:numCache>
                <c:formatCode>#,##0_%_);\(#,##0\)_%;#,##0_%_);@_%_)</c:formatCode>
                <c:ptCount val="26"/>
                <c:pt idx="0">
                  <c:v>-950000</c:v>
                </c:pt>
                <c:pt idx="1">
                  <c:v>-873177.44897406001</c:v>
                </c:pt>
                <c:pt idx="2">
                  <c:v>-802324.81286112289</c:v>
                </c:pt>
                <c:pt idx="3">
                  <c:v>-731947.88603405363</c:v>
                </c:pt>
                <c:pt idx="4">
                  <c:v>-662049.04703928158</c:v>
                </c:pt>
                <c:pt idx="5">
                  <c:v>-592630.68631596817</c:v>
                </c:pt>
                <c:pt idx="6">
                  <c:v>-523695.20625547069</c:v>
                </c:pt>
                <c:pt idx="7">
                  <c:v>-455245.02126110328</c:v>
                </c:pt>
                <c:pt idx="8">
                  <c:v>-387282.55780819652</c:v>
                </c:pt>
                <c:pt idx="9">
                  <c:v>-319810.25450445781</c:v>
                </c:pt>
                <c:pt idx="10">
                  <c:v>-252830.56215063293</c:v>
                </c:pt>
                <c:pt idx="11">
                  <c:v>-186345.94380147147</c:v>
                </c:pt>
                <c:pt idx="12">
                  <c:v>-120358.87482699669</c:v>
                </c:pt>
                <c:pt idx="13">
                  <c:v>-54871.842974082087</c:v>
                </c:pt>
                <c:pt idx="14">
                  <c:v>10112.651571664544</c:v>
                </c:pt>
                <c:pt idx="15">
                  <c:v>74592.096123707393</c:v>
                </c:pt>
                <c:pt idx="16">
                  <c:v>169834.16520784204</c:v>
                </c:pt>
                <c:pt idx="17">
                  <c:v>264566.12117208599</c:v>
                </c:pt>
                <c:pt idx="18">
                  <c:v>358785.41345083981</c:v>
                </c:pt>
                <c:pt idx="19">
                  <c:v>452489.47872567608</c:v>
                </c:pt>
                <c:pt idx="20">
                  <c:v>545675.74086157512</c:v>
                </c:pt>
                <c:pt idx="21">
                  <c:v>638341.61084284238</c:v>
                </c:pt>
                <c:pt idx="22">
                  <c:v>730484.48670870462</c:v>
                </c:pt>
                <c:pt idx="23">
                  <c:v>822101.75348858477</c:v>
                </c:pt>
                <c:pt idx="24">
                  <c:v>913190.78313705302</c:v>
                </c:pt>
                <c:pt idx="25">
                  <c:v>1003748.9344684522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EB-46AD-81D7-4BE8206CF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12683999"/>
        <c:axId val="2012686079"/>
      </c:barChart>
      <c:catAx>
        <c:axId val="20126839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12686079"/>
        <c:crosses val="autoZero"/>
        <c:auto val="1"/>
        <c:lblAlgn val="ctr"/>
        <c:lblOffset val="100"/>
        <c:noMultiLvlLbl val="0"/>
      </c:catAx>
      <c:valAx>
        <c:axId val="20126860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%_);\(#,##0\)_%;#,##0_%_);@_%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126839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chart" Target="../charts/chart4.xml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231321</xdr:colOff>
      <xdr:row>58</xdr:row>
      <xdr:rowOff>38514</xdr:rowOff>
    </xdr:from>
    <xdr:to>
      <xdr:col>4</xdr:col>
      <xdr:colOff>1283607</xdr:colOff>
      <xdr:row>62</xdr:row>
      <xdr:rowOff>89995</xdr:rowOff>
    </xdr:to>
    <xdr:sp macro="" textlink="">
      <xdr:nvSpPr>
        <xdr:cNvPr id="4" name="Freccia a destra 3">
          <a:extLst>
            <a:ext uri="{FF2B5EF4-FFF2-40B4-BE49-F238E27FC236}">
              <a16:creationId xmlns:a16="http://schemas.microsoft.com/office/drawing/2014/main" id="{38635AEA-76E5-45C4-8022-27F7C5AAFAD1}"/>
            </a:ext>
          </a:extLst>
        </xdr:cNvPr>
        <xdr:cNvSpPr/>
      </xdr:nvSpPr>
      <xdr:spPr>
        <a:xfrm>
          <a:off x="6390821" y="10655714"/>
          <a:ext cx="1052286" cy="965881"/>
        </a:xfrm>
        <a:prstGeom prst="rightArrow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it-IT" sz="1100"/>
            <a:t>cippato</a:t>
          </a:r>
        </a:p>
      </xdr:txBody>
    </xdr:sp>
    <xdr:clientData/>
  </xdr:twoCellAnchor>
  <xdr:twoCellAnchor>
    <xdr:from>
      <xdr:col>6</xdr:col>
      <xdr:colOff>1510</xdr:colOff>
      <xdr:row>54</xdr:row>
      <xdr:rowOff>0</xdr:rowOff>
    </xdr:from>
    <xdr:to>
      <xdr:col>10</xdr:col>
      <xdr:colOff>965200</xdr:colOff>
      <xdr:row>64</xdr:row>
      <xdr:rowOff>0</xdr:rowOff>
    </xdr:to>
    <xdr:sp macro="" textlink="">
      <xdr:nvSpPr>
        <xdr:cNvPr id="5" name="Rettangolo 4">
          <a:extLst>
            <a:ext uri="{FF2B5EF4-FFF2-40B4-BE49-F238E27FC236}">
              <a16:creationId xmlns:a16="http://schemas.microsoft.com/office/drawing/2014/main" id="{38E4BC38-E714-47D2-8F49-9DA4E3207293}"/>
            </a:ext>
          </a:extLst>
        </xdr:cNvPr>
        <xdr:cNvSpPr/>
      </xdr:nvSpPr>
      <xdr:spPr>
        <a:xfrm>
          <a:off x="9818610" y="9944100"/>
          <a:ext cx="6081790" cy="1943100"/>
        </a:xfrm>
        <a:prstGeom prst="rect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cap="all"/>
            <a:t>Cogeneratore A CIPPATO</a:t>
          </a:r>
          <a:endParaRPr lang="it-IT" sz="1100" cap="all" baseline="0"/>
        </a:p>
      </xdr:txBody>
    </xdr:sp>
    <xdr:clientData/>
  </xdr:twoCellAnchor>
  <xdr:twoCellAnchor>
    <xdr:from>
      <xdr:col>11</xdr:col>
      <xdr:colOff>27404</xdr:colOff>
      <xdr:row>55</xdr:row>
      <xdr:rowOff>120575</xdr:rowOff>
    </xdr:from>
    <xdr:to>
      <xdr:col>14</xdr:col>
      <xdr:colOff>489857</xdr:colOff>
      <xdr:row>58</xdr:row>
      <xdr:rowOff>199209</xdr:rowOff>
    </xdr:to>
    <xdr:sp macro="" textlink="">
      <xdr:nvSpPr>
        <xdr:cNvPr id="6" name="Freccia a destra 5">
          <a:extLst>
            <a:ext uri="{FF2B5EF4-FFF2-40B4-BE49-F238E27FC236}">
              <a16:creationId xmlns:a16="http://schemas.microsoft.com/office/drawing/2014/main" id="{21B3514A-513D-4B6E-8164-2FCF8D54BBF8}"/>
            </a:ext>
          </a:extLst>
        </xdr:cNvPr>
        <xdr:cNvSpPr/>
      </xdr:nvSpPr>
      <xdr:spPr>
        <a:xfrm>
          <a:off x="16169104" y="10229775"/>
          <a:ext cx="4107353" cy="586634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it-IT" sz="1100"/>
            <a:t>energia elettrica</a:t>
          </a:r>
        </a:p>
      </xdr:txBody>
    </xdr:sp>
    <xdr:clientData/>
  </xdr:twoCellAnchor>
  <xdr:twoCellAnchor>
    <xdr:from>
      <xdr:col>11</xdr:col>
      <xdr:colOff>31750</xdr:colOff>
      <xdr:row>59</xdr:row>
      <xdr:rowOff>116417</xdr:rowOff>
    </xdr:from>
    <xdr:to>
      <xdr:col>14</xdr:col>
      <xdr:colOff>465665</xdr:colOff>
      <xdr:row>62</xdr:row>
      <xdr:rowOff>96738</xdr:rowOff>
    </xdr:to>
    <xdr:sp macro="" textlink="">
      <xdr:nvSpPr>
        <xdr:cNvPr id="7" name="Freccia a destra 6">
          <a:extLst>
            <a:ext uri="{FF2B5EF4-FFF2-40B4-BE49-F238E27FC236}">
              <a16:creationId xmlns:a16="http://schemas.microsoft.com/office/drawing/2014/main" id="{91056610-2900-4750-8894-A3F22E078F68}"/>
            </a:ext>
          </a:extLst>
        </xdr:cNvPr>
        <xdr:cNvSpPr/>
      </xdr:nvSpPr>
      <xdr:spPr>
        <a:xfrm>
          <a:off x="16173450" y="10936817"/>
          <a:ext cx="4078815" cy="691521"/>
        </a:xfrm>
        <a:prstGeom prst="rightArrow">
          <a:avLst/>
        </a:prstGeom>
        <a:solidFill>
          <a:srgbClr val="FF0000"/>
        </a:solidFill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it-IT" sz="1100"/>
            <a:t>calore utile</a:t>
          </a:r>
        </a:p>
      </xdr:txBody>
    </xdr:sp>
    <xdr:clientData/>
  </xdr:twoCellAnchor>
  <xdr:twoCellAnchor editAs="oneCell">
    <xdr:from>
      <xdr:col>16</xdr:col>
      <xdr:colOff>199084</xdr:colOff>
      <xdr:row>53</xdr:row>
      <xdr:rowOff>58090</xdr:rowOff>
    </xdr:from>
    <xdr:to>
      <xdr:col>17</xdr:col>
      <xdr:colOff>1393671</xdr:colOff>
      <xdr:row>57</xdr:row>
      <xdr:rowOff>131175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D3106709-CD02-4427-9E7A-1CDA50972D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474884" y="9824390"/>
          <a:ext cx="2007387" cy="784285"/>
        </a:xfrm>
        <a:prstGeom prst="rect">
          <a:avLst/>
        </a:prstGeom>
      </xdr:spPr>
    </xdr:pic>
    <xdr:clientData/>
  </xdr:twoCellAnchor>
  <xdr:twoCellAnchor editAs="oneCell">
    <xdr:from>
      <xdr:col>7</xdr:col>
      <xdr:colOff>909109</xdr:colOff>
      <xdr:row>67</xdr:row>
      <xdr:rowOff>109366</xdr:rowOff>
    </xdr:from>
    <xdr:to>
      <xdr:col>9</xdr:col>
      <xdr:colOff>811136</xdr:colOff>
      <xdr:row>72</xdr:row>
      <xdr:rowOff>102469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2B42E5DB-F068-4ADC-BD36-94B04C98BD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5409" y="12644266"/>
          <a:ext cx="1946727" cy="907503"/>
        </a:xfrm>
        <a:prstGeom prst="rect">
          <a:avLst/>
        </a:prstGeom>
      </xdr:spPr>
    </xdr:pic>
    <xdr:clientData/>
  </xdr:twoCellAnchor>
  <xdr:twoCellAnchor>
    <xdr:from>
      <xdr:col>16</xdr:col>
      <xdr:colOff>150814</xdr:colOff>
      <xdr:row>59</xdr:row>
      <xdr:rowOff>160072</xdr:rowOff>
    </xdr:from>
    <xdr:to>
      <xdr:col>18</xdr:col>
      <xdr:colOff>869157</xdr:colOff>
      <xdr:row>62</xdr:row>
      <xdr:rowOff>140393</xdr:rowOff>
    </xdr:to>
    <xdr:sp macro="" textlink="">
      <xdr:nvSpPr>
        <xdr:cNvPr id="10" name="Freccia a destra 9">
          <a:extLst>
            <a:ext uri="{FF2B5EF4-FFF2-40B4-BE49-F238E27FC236}">
              <a16:creationId xmlns:a16="http://schemas.microsoft.com/office/drawing/2014/main" id="{21783483-301A-4C03-8170-DEE70FED0942}"/>
            </a:ext>
          </a:extLst>
        </xdr:cNvPr>
        <xdr:cNvSpPr/>
      </xdr:nvSpPr>
      <xdr:spPr>
        <a:xfrm>
          <a:off x="22426614" y="10980472"/>
          <a:ext cx="3042443" cy="691521"/>
        </a:xfrm>
        <a:prstGeom prst="rightArrow">
          <a:avLst/>
        </a:prstGeom>
        <a:solidFill>
          <a:srgbClr val="FF0000"/>
        </a:solidFill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it-IT" sz="1100"/>
            <a:t>Rete di Teleriscaldamento</a:t>
          </a:r>
        </a:p>
      </xdr:txBody>
    </xdr:sp>
    <xdr:clientData/>
  </xdr:twoCellAnchor>
  <xdr:twoCellAnchor>
    <xdr:from>
      <xdr:col>19</xdr:col>
      <xdr:colOff>1377950</xdr:colOff>
      <xdr:row>2</xdr:row>
      <xdr:rowOff>50800</xdr:rowOff>
    </xdr:from>
    <xdr:to>
      <xdr:col>23</xdr:col>
      <xdr:colOff>1098550</xdr:colOff>
      <xdr:row>15</xdr:row>
      <xdr:rowOff>139700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7B510818-F7AD-4ED2-81E6-4CBC84E64A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12700</xdr:colOff>
      <xdr:row>13</xdr:row>
      <xdr:rowOff>6350</xdr:rowOff>
    </xdr:from>
    <xdr:to>
      <xdr:col>5</xdr:col>
      <xdr:colOff>368300</xdr:colOff>
      <xdr:row>41</xdr:row>
      <xdr:rowOff>165100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C3697BA7-DEF8-7B23-6CFF-713B11E623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6350</xdr:colOff>
      <xdr:row>106</xdr:row>
      <xdr:rowOff>0</xdr:rowOff>
    </xdr:from>
    <xdr:to>
      <xdr:col>14</xdr:col>
      <xdr:colOff>609600</xdr:colOff>
      <xdr:row>136</xdr:row>
      <xdr:rowOff>12700</xdr:rowOff>
    </xdr:to>
    <xdr:graphicFrame macro="">
      <xdr:nvGraphicFramePr>
        <xdr:cNvPr id="13" name="Grafico 12">
          <a:extLst>
            <a:ext uri="{FF2B5EF4-FFF2-40B4-BE49-F238E27FC236}">
              <a16:creationId xmlns:a16="http://schemas.microsoft.com/office/drawing/2014/main" id="{A1580963-97FD-2E70-0208-59C9D2667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15240</xdr:colOff>
      <xdr:row>106</xdr:row>
      <xdr:rowOff>45720</xdr:rowOff>
    </xdr:from>
    <xdr:to>
      <xdr:col>22</xdr:col>
      <xdr:colOff>1112520</xdr:colOff>
      <xdr:row>136</xdr:row>
      <xdr:rowOff>0</xdr:rowOff>
    </xdr:to>
    <xdr:graphicFrame macro="">
      <xdr:nvGraphicFramePr>
        <xdr:cNvPr id="14" name="Grafico 13">
          <a:extLst>
            <a:ext uri="{FF2B5EF4-FFF2-40B4-BE49-F238E27FC236}">
              <a16:creationId xmlns:a16="http://schemas.microsoft.com/office/drawing/2014/main" id="{BABEBC15-5E42-80AC-13E2-45FFB8BD98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566056</xdr:colOff>
      <xdr:row>88</xdr:row>
      <xdr:rowOff>27213</xdr:rowOff>
    </xdr:from>
    <xdr:to>
      <xdr:col>6</xdr:col>
      <xdr:colOff>239485</xdr:colOff>
      <xdr:row>109</xdr:row>
      <xdr:rowOff>21771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1515319-61E1-3336-F712-0302649B38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berto/Desktop/Tesi/Cogenerazione/FRAIS%20cogen-modular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HIOMONTE_CIPPA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&amp;REG.DEL.UE 2015 24"/>
      <sheetName val="SIMULAZIONE ORC_CAR_solo riscal"/>
    </sheetNames>
    <sheetDataSet>
      <sheetData sheetId="0"/>
      <sheetData sheetId="1">
        <row r="4">
          <cell r="U4">
            <v>730</v>
          </cell>
          <cell r="V4">
            <v>242</v>
          </cell>
        </row>
        <row r="5">
          <cell r="U5">
            <v>1460</v>
          </cell>
          <cell r="V5">
            <v>231</v>
          </cell>
        </row>
        <row r="6">
          <cell r="U6">
            <v>2190</v>
          </cell>
          <cell r="V6">
            <v>231</v>
          </cell>
        </row>
        <row r="7">
          <cell r="U7">
            <v>2920</v>
          </cell>
          <cell r="V7">
            <v>154</v>
          </cell>
        </row>
        <row r="8">
          <cell r="U8">
            <v>3650</v>
          </cell>
          <cell r="V8">
            <v>143</v>
          </cell>
        </row>
        <row r="9">
          <cell r="U9">
            <v>4380</v>
          </cell>
          <cell r="V9">
            <v>55</v>
          </cell>
        </row>
        <row r="10">
          <cell r="U10">
            <v>5110</v>
          </cell>
          <cell r="V10">
            <v>44</v>
          </cell>
        </row>
        <row r="11">
          <cell r="U11">
            <v>5840</v>
          </cell>
          <cell r="V11">
            <v>30</v>
          </cell>
        </row>
        <row r="12">
          <cell r="U12">
            <v>6570</v>
          </cell>
          <cell r="V12">
            <v>30</v>
          </cell>
        </row>
        <row r="13">
          <cell r="U13">
            <v>7300</v>
          </cell>
          <cell r="V13">
            <v>30</v>
          </cell>
        </row>
        <row r="14">
          <cell r="U14">
            <v>8030</v>
          </cell>
          <cell r="V14">
            <v>30</v>
          </cell>
        </row>
        <row r="15">
          <cell r="U15">
            <v>8760</v>
          </cell>
          <cell r="V15">
            <v>30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&amp;REG.DEL.UE 2015 24"/>
      <sheetName val="Calcolo"/>
      <sheetName val="Taratura"/>
      <sheetName val="Piano economico"/>
    </sheetNames>
    <sheetDataSet>
      <sheetData sheetId="0"/>
      <sheetData sheetId="1">
        <row r="228">
          <cell r="D228">
            <v>1900000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hyperlink" Target="http://www.euribor.it/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DAA09-92A7-498C-8F54-C880D669F4C4}">
  <dimension ref="B1:AG44"/>
  <sheetViews>
    <sheetView zoomScale="70" zoomScaleNormal="70" workbookViewId="0">
      <selection activeCell="E1" sqref="E1:J1"/>
    </sheetView>
  </sheetViews>
  <sheetFormatPr defaultColWidth="9.109375" defaultRowHeight="14.4"/>
  <cols>
    <col min="1" max="1" width="5.33203125" style="14" customWidth="1"/>
    <col min="2" max="2" width="41.44140625" style="14" customWidth="1"/>
    <col min="3" max="4" width="7.109375" style="14" customWidth="1"/>
    <col min="5" max="5" width="15.109375" style="14" bestFit="1" customWidth="1"/>
    <col min="6" max="6" width="7" style="14" customWidth="1"/>
    <col min="7" max="7" width="94.109375" style="14" bestFit="1" customWidth="1"/>
    <col min="8" max="8" width="14.88671875" style="14" customWidth="1"/>
    <col min="9" max="9" width="12.109375" style="14" customWidth="1"/>
    <col min="10" max="10" width="10.109375" style="14" customWidth="1"/>
    <col min="11" max="11" width="9.109375" style="14"/>
    <col min="12" max="12" width="15.33203125" style="14" bestFit="1" customWidth="1"/>
    <col min="13" max="13" width="4.6640625" style="14" bestFit="1" customWidth="1"/>
    <col min="14" max="14" width="102" style="14" bestFit="1" customWidth="1"/>
    <col min="15" max="16" width="13.109375" style="14" customWidth="1"/>
    <col min="17" max="17" width="15" style="14" bestFit="1" customWidth="1"/>
    <col min="18" max="19" width="13.109375" style="14" customWidth="1"/>
    <col min="20" max="20" width="15" style="14" customWidth="1"/>
    <col min="21" max="16384" width="9.109375" style="14"/>
  </cols>
  <sheetData>
    <row r="1" spans="2:33" ht="18.600000000000001" thickBot="1">
      <c r="B1" s="342" t="s">
        <v>30</v>
      </c>
      <c r="C1" s="342"/>
      <c r="E1" s="343" t="s">
        <v>31</v>
      </c>
      <c r="F1" s="343"/>
      <c r="G1" s="343"/>
      <c r="H1" s="343"/>
      <c r="I1" s="343"/>
      <c r="J1" s="343"/>
      <c r="L1" s="344" t="s">
        <v>32</v>
      </c>
      <c r="M1" s="344"/>
      <c r="N1" s="344"/>
      <c r="O1" s="344"/>
      <c r="P1" s="344"/>
      <c r="Q1" s="344"/>
      <c r="R1" s="344"/>
      <c r="S1" s="344"/>
      <c r="T1" s="344"/>
    </row>
    <row r="2" spans="2:33" ht="15" customHeight="1">
      <c r="B2" s="15" t="s">
        <v>15</v>
      </c>
      <c r="C2" s="16" t="s">
        <v>1</v>
      </c>
      <c r="E2" s="345" t="s">
        <v>33</v>
      </c>
      <c r="F2" s="346"/>
      <c r="G2" s="349" t="s">
        <v>18</v>
      </c>
      <c r="H2" s="346" t="s">
        <v>34</v>
      </c>
      <c r="I2" s="346"/>
      <c r="J2" s="351"/>
      <c r="L2" s="345" t="s">
        <v>33</v>
      </c>
      <c r="M2" s="346"/>
      <c r="N2" s="346" t="s">
        <v>18</v>
      </c>
      <c r="O2" s="352" t="s">
        <v>35</v>
      </c>
      <c r="P2" s="352"/>
      <c r="Q2" s="352"/>
      <c r="R2" s="352" t="s">
        <v>36</v>
      </c>
      <c r="S2" s="352"/>
      <c r="T2" s="353"/>
    </row>
    <row r="3" spans="2:33" ht="36.6" thickBot="1">
      <c r="B3" s="17" t="s">
        <v>37</v>
      </c>
      <c r="C3" s="18">
        <v>0.75</v>
      </c>
      <c r="E3" s="347"/>
      <c r="F3" s="348"/>
      <c r="G3" s="350"/>
      <c r="H3" s="19" t="s">
        <v>38</v>
      </c>
      <c r="I3" s="19" t="s">
        <v>39</v>
      </c>
      <c r="J3" s="20" t="s">
        <v>36</v>
      </c>
      <c r="L3" s="347"/>
      <c r="M3" s="348"/>
      <c r="N3" s="348"/>
      <c r="O3" s="21" t="s">
        <v>23</v>
      </c>
      <c r="P3" s="21" t="s">
        <v>40</v>
      </c>
      <c r="Q3" s="21" t="s">
        <v>41</v>
      </c>
      <c r="R3" s="21" t="s">
        <v>23</v>
      </c>
      <c r="S3" s="21" t="s">
        <v>40</v>
      </c>
      <c r="T3" s="22" t="s">
        <v>41</v>
      </c>
      <c r="X3"/>
      <c r="Y3"/>
      <c r="Z3"/>
      <c r="AA3"/>
      <c r="AB3"/>
      <c r="AC3"/>
      <c r="AD3"/>
      <c r="AE3"/>
      <c r="AF3"/>
      <c r="AG3"/>
    </row>
    <row r="4" spans="2:33">
      <c r="B4" s="17" t="s">
        <v>42</v>
      </c>
      <c r="C4" s="18">
        <v>0.75</v>
      </c>
      <c r="E4" s="354" t="s">
        <v>43</v>
      </c>
      <c r="F4" s="23" t="s">
        <v>44</v>
      </c>
      <c r="G4" s="24" t="s">
        <v>45</v>
      </c>
      <c r="H4" s="25">
        <v>0.442</v>
      </c>
      <c r="I4" s="25">
        <v>0.442</v>
      </c>
      <c r="J4" s="26">
        <v>0.442</v>
      </c>
      <c r="L4" s="354" t="s">
        <v>43</v>
      </c>
      <c r="M4" s="23" t="s">
        <v>44</v>
      </c>
      <c r="N4" s="27" t="s">
        <v>45</v>
      </c>
      <c r="O4" s="28">
        <v>0.88</v>
      </c>
      <c r="P4" s="28">
        <v>0.83</v>
      </c>
      <c r="Q4" s="28">
        <v>0.8</v>
      </c>
      <c r="R4" s="28">
        <v>0.88</v>
      </c>
      <c r="S4" s="28">
        <v>0.83</v>
      </c>
      <c r="T4" s="29">
        <v>0.8</v>
      </c>
      <c r="X4"/>
      <c r="Y4"/>
      <c r="Z4"/>
      <c r="AA4"/>
      <c r="AB4"/>
      <c r="AC4"/>
      <c r="AD4"/>
      <c r="AE4"/>
      <c r="AF4"/>
      <c r="AG4"/>
    </row>
    <row r="5" spans="2:33" ht="28.8">
      <c r="B5" s="17" t="s">
        <v>46</v>
      </c>
      <c r="C5" s="18">
        <v>0.75</v>
      </c>
      <c r="E5" s="355"/>
      <c r="F5" s="30" t="s">
        <v>47</v>
      </c>
      <c r="G5" s="31" t="s">
        <v>48</v>
      </c>
      <c r="H5" s="32">
        <v>0.41799999999999998</v>
      </c>
      <c r="I5" s="32">
        <v>0.41799999999999998</v>
      </c>
      <c r="J5" s="33">
        <v>0.41799999999999998</v>
      </c>
      <c r="L5" s="355"/>
      <c r="M5" s="30" t="s">
        <v>47</v>
      </c>
      <c r="N5" s="34" t="s">
        <v>48</v>
      </c>
      <c r="O5" s="35">
        <v>0.86</v>
      </c>
      <c r="P5" s="35">
        <v>0.81</v>
      </c>
      <c r="Q5" s="35">
        <v>0.78</v>
      </c>
      <c r="R5" s="35">
        <v>0.86</v>
      </c>
      <c r="S5" s="35">
        <v>0.81</v>
      </c>
      <c r="T5" s="36">
        <v>0.78</v>
      </c>
      <c r="X5"/>
      <c r="Y5"/>
      <c r="Z5"/>
      <c r="AA5"/>
      <c r="AB5"/>
      <c r="AC5"/>
      <c r="AD5"/>
      <c r="AE5"/>
      <c r="AF5"/>
      <c r="AG5"/>
    </row>
    <row r="6" spans="2:33">
      <c r="B6" s="17" t="s">
        <v>49</v>
      </c>
      <c r="C6" s="18">
        <v>0.75</v>
      </c>
      <c r="E6" s="355"/>
      <c r="F6" s="30" t="s">
        <v>50</v>
      </c>
      <c r="G6" s="37" t="s">
        <v>51</v>
      </c>
      <c r="H6" s="32">
        <v>0.39</v>
      </c>
      <c r="I6" s="32">
        <v>0.39</v>
      </c>
      <c r="J6" s="33">
        <v>0.39</v>
      </c>
      <c r="L6" s="355"/>
      <c r="M6" s="30" t="s">
        <v>50</v>
      </c>
      <c r="N6" s="38" t="s">
        <v>51</v>
      </c>
      <c r="O6" s="35">
        <v>0.86</v>
      </c>
      <c r="P6" s="35">
        <v>0.81</v>
      </c>
      <c r="Q6" s="35">
        <v>0.78</v>
      </c>
      <c r="R6" s="35">
        <v>0.86</v>
      </c>
      <c r="S6" s="35">
        <v>0.81</v>
      </c>
      <c r="T6" s="36">
        <v>0.78</v>
      </c>
      <c r="X6"/>
      <c r="Y6"/>
      <c r="Z6"/>
      <c r="AA6"/>
      <c r="AB6"/>
      <c r="AC6"/>
      <c r="AD6"/>
      <c r="AE6"/>
      <c r="AF6"/>
      <c r="AG6"/>
    </row>
    <row r="7" spans="2:33" ht="43.2">
      <c r="B7" s="17" t="s">
        <v>52</v>
      </c>
      <c r="C7" s="18">
        <v>0.75</v>
      </c>
      <c r="E7" s="355"/>
      <c r="F7" s="30" t="s">
        <v>53</v>
      </c>
      <c r="G7" s="31" t="s">
        <v>54</v>
      </c>
      <c r="H7" s="32">
        <v>0.33</v>
      </c>
      <c r="I7" s="32">
        <v>0.33</v>
      </c>
      <c r="J7" s="33">
        <v>0.37</v>
      </c>
      <c r="L7" s="355"/>
      <c r="M7" s="30" t="s">
        <v>53</v>
      </c>
      <c r="N7" s="34" t="s">
        <v>54</v>
      </c>
      <c r="O7" s="35">
        <v>0.86</v>
      </c>
      <c r="P7" s="35">
        <v>0.81</v>
      </c>
      <c r="Q7" s="35">
        <v>0.78</v>
      </c>
      <c r="R7" s="35">
        <v>0.86</v>
      </c>
      <c r="S7" s="35">
        <v>0.81</v>
      </c>
      <c r="T7" s="36">
        <v>0.78</v>
      </c>
      <c r="X7"/>
      <c r="Y7"/>
      <c r="Z7"/>
      <c r="AA7"/>
      <c r="AB7"/>
      <c r="AC7"/>
      <c r="AD7"/>
      <c r="AE7"/>
      <c r="AF7"/>
      <c r="AG7"/>
    </row>
    <row r="8" spans="2:33" ht="28.8">
      <c r="B8" s="17" t="s">
        <v>55</v>
      </c>
      <c r="C8" s="18">
        <v>0.75</v>
      </c>
      <c r="E8" s="355"/>
      <c r="F8" s="30" t="s">
        <v>56</v>
      </c>
      <c r="G8" s="31" t="s">
        <v>20</v>
      </c>
      <c r="H8" s="32">
        <v>0.25</v>
      </c>
      <c r="I8" s="32">
        <v>0.25</v>
      </c>
      <c r="J8" s="33">
        <v>0.3</v>
      </c>
      <c r="L8" s="355"/>
      <c r="M8" s="30" t="s">
        <v>56</v>
      </c>
      <c r="N8" s="34" t="s">
        <v>20</v>
      </c>
      <c r="O8" s="35">
        <v>0.8</v>
      </c>
      <c r="P8" s="35">
        <v>0.75</v>
      </c>
      <c r="Q8" s="35">
        <v>0.72</v>
      </c>
      <c r="R8" s="35">
        <v>0.8</v>
      </c>
      <c r="S8" s="35">
        <v>0.75</v>
      </c>
      <c r="T8" s="36">
        <v>0.72</v>
      </c>
      <c r="X8"/>
      <c r="Y8"/>
      <c r="Z8"/>
      <c r="AA8"/>
      <c r="AB8"/>
      <c r="AC8"/>
      <c r="AD8"/>
      <c r="AE8"/>
      <c r="AF8"/>
      <c r="AG8"/>
    </row>
    <row r="9" spans="2:33" ht="15" thickBot="1">
      <c r="B9" s="17" t="s">
        <v>57</v>
      </c>
      <c r="C9" s="18">
        <v>0.75</v>
      </c>
      <c r="E9" s="356"/>
      <c r="F9" s="39" t="s">
        <v>58</v>
      </c>
      <c r="G9" s="40" t="s">
        <v>59</v>
      </c>
      <c r="H9" s="41">
        <v>0.25</v>
      </c>
      <c r="I9" s="41">
        <v>0.25</v>
      </c>
      <c r="J9" s="42">
        <v>0.25</v>
      </c>
      <c r="L9" s="356"/>
      <c r="M9" s="39" t="s">
        <v>58</v>
      </c>
      <c r="N9" s="43" t="s">
        <v>59</v>
      </c>
      <c r="O9" s="44">
        <v>0.8</v>
      </c>
      <c r="P9" s="44">
        <v>0.75</v>
      </c>
      <c r="Q9" s="44">
        <v>0.72</v>
      </c>
      <c r="R9" s="44">
        <v>0.8</v>
      </c>
      <c r="S9" s="44">
        <v>0.75</v>
      </c>
      <c r="T9" s="45">
        <v>0.72</v>
      </c>
      <c r="X9"/>
      <c r="Y9"/>
      <c r="Z9"/>
      <c r="AA9"/>
      <c r="AB9"/>
      <c r="AC9"/>
      <c r="AD9"/>
      <c r="AE9"/>
      <c r="AF9"/>
      <c r="AG9"/>
    </row>
    <row r="10" spans="2:33">
      <c r="B10" s="17" t="s">
        <v>16</v>
      </c>
      <c r="C10" s="18">
        <v>0.75</v>
      </c>
      <c r="E10" s="354" t="s">
        <v>60</v>
      </c>
      <c r="F10" s="23" t="s">
        <v>61</v>
      </c>
      <c r="G10" s="24" t="s">
        <v>62</v>
      </c>
      <c r="H10" s="25">
        <v>0.442</v>
      </c>
      <c r="I10" s="25">
        <v>0.442</v>
      </c>
      <c r="J10" s="26">
        <v>0.442</v>
      </c>
      <c r="L10" s="354" t="s">
        <v>60</v>
      </c>
      <c r="M10" s="23" t="s">
        <v>61</v>
      </c>
      <c r="N10" s="27" t="s">
        <v>62</v>
      </c>
      <c r="O10" s="28">
        <v>0.89</v>
      </c>
      <c r="P10" s="28">
        <v>0.84</v>
      </c>
      <c r="Q10" s="28">
        <v>0.81</v>
      </c>
      <c r="R10" s="28">
        <v>0.85</v>
      </c>
      <c r="S10" s="28">
        <v>0.8</v>
      </c>
      <c r="T10" s="29">
        <v>0.77</v>
      </c>
      <c r="X10"/>
      <c r="Y10"/>
      <c r="Z10"/>
      <c r="AA10"/>
      <c r="AB10"/>
      <c r="AC10"/>
      <c r="AD10"/>
      <c r="AE10"/>
      <c r="AF10"/>
      <c r="AG10"/>
    </row>
    <row r="11" spans="2:33" ht="43.2">
      <c r="B11" s="17" t="s">
        <v>63</v>
      </c>
      <c r="C11" s="18">
        <v>0.75</v>
      </c>
      <c r="E11" s="355"/>
      <c r="F11" s="30" t="s">
        <v>64</v>
      </c>
      <c r="G11" s="31" t="s">
        <v>65</v>
      </c>
      <c r="H11" s="32">
        <v>0.442</v>
      </c>
      <c r="I11" s="32">
        <v>0.442</v>
      </c>
      <c r="J11" s="33">
        <v>0.442</v>
      </c>
      <c r="L11" s="355"/>
      <c r="M11" s="30" t="s">
        <v>64</v>
      </c>
      <c r="N11" s="34" t="s">
        <v>65</v>
      </c>
      <c r="O11" s="35">
        <v>0.89</v>
      </c>
      <c r="P11" s="35">
        <v>0.84</v>
      </c>
      <c r="Q11" s="35">
        <v>0.81</v>
      </c>
      <c r="R11" s="35">
        <v>0.85</v>
      </c>
      <c r="S11" s="35">
        <v>0.8</v>
      </c>
      <c r="T11" s="36">
        <v>0.77</v>
      </c>
      <c r="X11"/>
      <c r="Y11"/>
      <c r="Z11"/>
      <c r="AA11"/>
      <c r="AB11"/>
      <c r="AC11"/>
      <c r="AD11"/>
      <c r="AE11"/>
      <c r="AF11"/>
      <c r="AG11"/>
    </row>
    <row r="12" spans="2:33" ht="29.4" thickBot="1">
      <c r="B12" s="17" t="s">
        <v>66</v>
      </c>
      <c r="C12" s="18">
        <v>0.8</v>
      </c>
      <c r="E12" s="356"/>
      <c r="F12" s="39" t="s">
        <v>67</v>
      </c>
      <c r="G12" s="40" t="s">
        <v>68</v>
      </c>
      <c r="H12" s="41">
        <v>0.25</v>
      </c>
      <c r="I12" s="41">
        <v>0.25</v>
      </c>
      <c r="J12" s="42">
        <v>0.28999999999999998</v>
      </c>
      <c r="L12" s="356"/>
      <c r="M12" s="39" t="s">
        <v>67</v>
      </c>
      <c r="N12" s="43" t="s">
        <v>68</v>
      </c>
      <c r="O12" s="44">
        <v>0.8</v>
      </c>
      <c r="P12" s="44">
        <v>0.75</v>
      </c>
      <c r="Q12" s="44">
        <v>0.72</v>
      </c>
      <c r="R12" s="44">
        <v>0.75</v>
      </c>
      <c r="S12" s="44">
        <v>0.7</v>
      </c>
      <c r="T12" s="45">
        <v>0.67</v>
      </c>
      <c r="X12"/>
      <c r="Y12"/>
      <c r="Z12"/>
      <c r="AA12"/>
      <c r="AB12"/>
      <c r="AC12"/>
      <c r="AD12"/>
      <c r="AE12"/>
      <c r="AF12"/>
      <c r="AG12"/>
    </row>
    <row r="13" spans="2:33">
      <c r="B13" s="17" t="s">
        <v>69</v>
      </c>
      <c r="C13" s="18">
        <v>0.8</v>
      </c>
      <c r="E13" s="354" t="s">
        <v>70</v>
      </c>
      <c r="F13" s="46" t="s">
        <v>71</v>
      </c>
      <c r="G13" s="24" t="s">
        <v>72</v>
      </c>
      <c r="H13" s="25">
        <v>0.52500000000000002</v>
      </c>
      <c r="I13" s="25">
        <v>0.52500000000000002</v>
      </c>
      <c r="J13" s="26">
        <v>0.53</v>
      </c>
      <c r="L13" s="354" t="s">
        <v>70</v>
      </c>
      <c r="M13" s="46" t="s">
        <v>71</v>
      </c>
      <c r="N13" s="27" t="s">
        <v>72</v>
      </c>
      <c r="O13" s="28">
        <v>0.9</v>
      </c>
      <c r="P13" s="28">
        <v>0.85</v>
      </c>
      <c r="Q13" s="28">
        <v>0.82</v>
      </c>
      <c r="R13" s="28">
        <v>0.92</v>
      </c>
      <c r="S13" s="28">
        <v>0.87</v>
      </c>
      <c r="T13" s="29">
        <v>0.84</v>
      </c>
      <c r="X13"/>
      <c r="Y13"/>
      <c r="Z13"/>
      <c r="AA13"/>
      <c r="AB13"/>
      <c r="AC13"/>
      <c r="AD13"/>
      <c r="AE13"/>
      <c r="AF13"/>
      <c r="AG13"/>
    </row>
    <row r="14" spans="2:33" ht="43.8" thickBot="1">
      <c r="B14" s="47" t="s">
        <v>73</v>
      </c>
      <c r="C14" s="48">
        <v>0.8</v>
      </c>
      <c r="E14" s="355"/>
      <c r="F14" s="49" t="s">
        <v>74</v>
      </c>
      <c r="G14" s="31" t="s">
        <v>75</v>
      </c>
      <c r="H14" s="32">
        <v>0.442</v>
      </c>
      <c r="I14" s="32">
        <v>0.442</v>
      </c>
      <c r="J14" s="33">
        <v>0.442</v>
      </c>
      <c r="L14" s="355"/>
      <c r="M14" s="49" t="s">
        <v>74</v>
      </c>
      <c r="N14" s="34" t="s">
        <v>75</v>
      </c>
      <c r="O14" s="35">
        <v>0.89</v>
      </c>
      <c r="P14" s="35">
        <v>0.84</v>
      </c>
      <c r="Q14" s="35">
        <v>0.81</v>
      </c>
      <c r="R14" s="35">
        <v>0.9</v>
      </c>
      <c r="S14" s="35">
        <v>0.85</v>
      </c>
      <c r="T14" s="36">
        <v>0.82</v>
      </c>
      <c r="X14"/>
      <c r="Y14"/>
      <c r="Z14"/>
      <c r="AA14"/>
      <c r="AB14"/>
      <c r="AC14"/>
      <c r="AD14"/>
      <c r="AE14"/>
      <c r="AF14"/>
      <c r="AG14"/>
    </row>
    <row r="15" spans="2:33">
      <c r="E15" s="355"/>
      <c r="F15" s="49" t="s">
        <v>76</v>
      </c>
      <c r="G15" s="31" t="s">
        <v>77</v>
      </c>
      <c r="H15" s="32">
        <v>0.42</v>
      </c>
      <c r="I15" s="32">
        <v>0.42</v>
      </c>
      <c r="J15" s="33">
        <v>0.42</v>
      </c>
      <c r="L15" s="355"/>
      <c r="M15" s="49" t="s">
        <v>76</v>
      </c>
      <c r="N15" s="34" t="s">
        <v>77</v>
      </c>
      <c r="O15" s="35">
        <v>0.7</v>
      </c>
      <c r="P15" s="35">
        <v>0.65</v>
      </c>
      <c r="Q15" s="35">
        <v>0.62</v>
      </c>
      <c r="R15" s="35">
        <v>0.8</v>
      </c>
      <c r="S15" s="35">
        <v>0.75</v>
      </c>
      <c r="T15" s="36">
        <v>0.72</v>
      </c>
      <c r="X15"/>
      <c r="Y15"/>
      <c r="Z15"/>
      <c r="AA15"/>
      <c r="AB15"/>
      <c r="AC15"/>
      <c r="AD15"/>
      <c r="AE15"/>
      <c r="AF15"/>
      <c r="AG15"/>
    </row>
    <row r="16" spans="2:33" ht="15" thickBot="1">
      <c r="E16" s="356"/>
      <c r="F16" s="50" t="s">
        <v>78</v>
      </c>
      <c r="G16" s="40" t="s">
        <v>79</v>
      </c>
      <c r="H16" s="41">
        <v>0.35</v>
      </c>
      <c r="I16" s="41">
        <v>0.35</v>
      </c>
      <c r="J16" s="42">
        <v>0.35</v>
      </c>
      <c r="L16" s="357"/>
      <c r="M16" s="51" t="s">
        <v>78</v>
      </c>
      <c r="N16" s="52" t="s">
        <v>79</v>
      </c>
      <c r="O16" s="53">
        <v>0.8</v>
      </c>
      <c r="P16" s="53">
        <v>0.75</v>
      </c>
      <c r="Q16" s="53">
        <v>0.72</v>
      </c>
      <c r="R16" s="53">
        <v>0.8</v>
      </c>
      <c r="S16" s="53">
        <v>0.75</v>
      </c>
      <c r="T16" s="54">
        <v>0.72</v>
      </c>
      <c r="X16"/>
      <c r="Y16"/>
      <c r="Z16"/>
      <c r="AA16"/>
      <c r="AB16"/>
      <c r="AC16"/>
      <c r="AD16"/>
      <c r="AE16"/>
      <c r="AF16"/>
      <c r="AG16"/>
    </row>
    <row r="17" spans="5:33" ht="28.8">
      <c r="E17" s="354" t="s">
        <v>80</v>
      </c>
      <c r="F17" s="46" t="s">
        <v>81</v>
      </c>
      <c r="G17" s="24" t="s">
        <v>82</v>
      </c>
      <c r="H17" s="25">
        <v>0</v>
      </c>
      <c r="I17" s="25">
        <v>0</v>
      </c>
      <c r="J17" s="26">
        <v>0.3</v>
      </c>
      <c r="L17" s="354" t="s">
        <v>80</v>
      </c>
      <c r="M17" s="46" t="s">
        <v>81</v>
      </c>
      <c r="N17" s="27" t="s">
        <v>82</v>
      </c>
      <c r="O17" s="25">
        <v>0</v>
      </c>
      <c r="P17" s="25">
        <v>0</v>
      </c>
      <c r="Q17" s="55">
        <v>0</v>
      </c>
      <c r="R17" s="28">
        <v>0.92</v>
      </c>
      <c r="S17" s="28">
        <v>0.87</v>
      </c>
      <c r="T17" s="56">
        <v>0</v>
      </c>
      <c r="X17"/>
      <c r="Y17"/>
      <c r="Z17"/>
      <c r="AA17"/>
      <c r="AB17"/>
      <c r="AC17"/>
      <c r="AD17"/>
      <c r="AE17"/>
      <c r="AF17"/>
      <c r="AG17"/>
    </row>
    <row r="18" spans="5:33">
      <c r="E18" s="355"/>
      <c r="F18" s="49" t="s">
        <v>83</v>
      </c>
      <c r="G18" s="31" t="s">
        <v>84</v>
      </c>
      <c r="H18" s="32">
        <v>0</v>
      </c>
      <c r="I18" s="32">
        <v>0</v>
      </c>
      <c r="J18" s="33">
        <v>0.33</v>
      </c>
      <c r="L18" s="355"/>
      <c r="M18" s="49" t="s">
        <v>83</v>
      </c>
      <c r="N18" s="34" t="s">
        <v>84</v>
      </c>
      <c r="O18" s="57">
        <v>0</v>
      </c>
      <c r="P18" s="57">
        <v>0</v>
      </c>
      <c r="Q18" s="58">
        <v>0</v>
      </c>
      <c r="R18" s="35">
        <v>0.92</v>
      </c>
      <c r="S18" s="35">
        <v>0.87</v>
      </c>
      <c r="T18" s="59">
        <v>0</v>
      </c>
      <c r="X18"/>
      <c r="Y18"/>
      <c r="Z18"/>
      <c r="AA18"/>
      <c r="AB18"/>
      <c r="AC18"/>
      <c r="AD18"/>
      <c r="AE18"/>
      <c r="AF18"/>
      <c r="AG18"/>
    </row>
    <row r="19" spans="5:33">
      <c r="E19" s="355"/>
      <c r="F19" s="49" t="s">
        <v>85</v>
      </c>
      <c r="G19" s="31" t="s">
        <v>86</v>
      </c>
      <c r="H19" s="32">
        <v>0</v>
      </c>
      <c r="I19" s="32">
        <v>0</v>
      </c>
      <c r="J19" s="33">
        <v>0.3</v>
      </c>
      <c r="L19" s="355"/>
      <c r="M19" s="49" t="s">
        <v>85</v>
      </c>
      <c r="N19" s="34" t="s">
        <v>86</v>
      </c>
      <c r="O19" s="35">
        <v>0</v>
      </c>
      <c r="P19" s="35">
        <v>0</v>
      </c>
      <c r="Q19" s="60">
        <v>0</v>
      </c>
      <c r="R19" s="35">
        <v>0.92</v>
      </c>
      <c r="S19" s="35">
        <v>0.87</v>
      </c>
      <c r="T19" s="61">
        <v>0</v>
      </c>
      <c r="X19"/>
      <c r="Y19"/>
      <c r="Z19"/>
      <c r="AA19"/>
      <c r="AB19"/>
      <c r="AC19"/>
      <c r="AD19"/>
      <c r="AE19"/>
      <c r="AF19"/>
      <c r="AG19"/>
    </row>
    <row r="20" spans="5:33">
      <c r="E20" s="355"/>
      <c r="F20" s="49" t="s">
        <v>87</v>
      </c>
      <c r="G20" s="31" t="s">
        <v>88</v>
      </c>
      <c r="H20" s="32">
        <v>0</v>
      </c>
      <c r="I20" s="32">
        <v>0</v>
      </c>
      <c r="J20" s="33">
        <v>0.19500000000000001</v>
      </c>
      <c r="L20" s="355"/>
      <c r="M20" s="49" t="s">
        <v>87</v>
      </c>
      <c r="N20" s="34" t="s">
        <v>88</v>
      </c>
      <c r="O20" s="35">
        <v>0</v>
      </c>
      <c r="P20" s="35">
        <v>0</v>
      </c>
      <c r="Q20" s="60">
        <v>0</v>
      </c>
      <c r="R20" s="35">
        <v>0.92</v>
      </c>
      <c r="S20" s="35">
        <v>0.87</v>
      </c>
      <c r="T20" s="61">
        <v>0</v>
      </c>
      <c r="X20"/>
      <c r="Y20"/>
      <c r="Z20"/>
      <c r="AA20"/>
      <c r="AB20"/>
      <c r="AC20"/>
      <c r="AD20"/>
      <c r="AE20"/>
      <c r="AF20"/>
      <c r="AG20"/>
    </row>
    <row r="21" spans="5:33" ht="15" thickBot="1">
      <c r="E21" s="356"/>
      <c r="F21" s="50" t="s">
        <v>89</v>
      </c>
      <c r="G21" s="40" t="s">
        <v>90</v>
      </c>
      <c r="H21" s="41">
        <v>0</v>
      </c>
      <c r="I21" s="41">
        <v>0</v>
      </c>
      <c r="J21" s="42">
        <v>0.3</v>
      </c>
      <c r="L21" s="356"/>
      <c r="M21" s="50" t="s">
        <v>89</v>
      </c>
      <c r="N21" s="43" t="s">
        <v>90</v>
      </c>
      <c r="O21" s="62">
        <v>0</v>
      </c>
      <c r="P21" s="62">
        <v>0</v>
      </c>
      <c r="Q21" s="63">
        <v>0</v>
      </c>
      <c r="R21" s="62">
        <v>0.92</v>
      </c>
      <c r="S21" s="62">
        <v>0.87</v>
      </c>
      <c r="T21" s="64">
        <v>0</v>
      </c>
      <c r="X21"/>
      <c r="Y21"/>
      <c r="Z21"/>
      <c r="AA21"/>
      <c r="AB21"/>
      <c r="AC21"/>
      <c r="AD21"/>
      <c r="AE21"/>
      <c r="AF21"/>
      <c r="AG21"/>
    </row>
    <row r="22" spans="5:33">
      <c r="X22"/>
      <c r="Y22"/>
      <c r="Z22"/>
      <c r="AA22"/>
      <c r="AB22"/>
      <c r="AC22"/>
      <c r="AD22"/>
      <c r="AE22"/>
      <c r="AF22"/>
      <c r="AG22"/>
    </row>
    <row r="23" spans="5:33">
      <c r="X23"/>
      <c r="Y23"/>
      <c r="Z23"/>
      <c r="AA23"/>
      <c r="AB23"/>
      <c r="AC23"/>
      <c r="AD23"/>
      <c r="AE23"/>
      <c r="AF23"/>
      <c r="AG23"/>
    </row>
    <row r="25" spans="5:33">
      <c r="G25"/>
      <c r="H25"/>
      <c r="I25"/>
      <c r="J25"/>
    </row>
    <row r="26" spans="5:33">
      <c r="G26"/>
      <c r="H26"/>
      <c r="I26"/>
      <c r="J26"/>
    </row>
    <row r="27" spans="5:33">
      <c r="G27"/>
      <c r="H27"/>
      <c r="I27"/>
      <c r="J27"/>
    </row>
    <row r="28" spans="5:33">
      <c r="G28"/>
      <c r="H28"/>
      <c r="I28"/>
      <c r="J28"/>
    </row>
    <row r="29" spans="5:33">
      <c r="G29"/>
      <c r="H29"/>
      <c r="I29"/>
      <c r="J29"/>
    </row>
    <row r="30" spans="5:33">
      <c r="G30"/>
      <c r="H30"/>
      <c r="I30"/>
      <c r="J30"/>
    </row>
    <row r="31" spans="5:33">
      <c r="G31"/>
      <c r="H31"/>
      <c r="I31"/>
      <c r="J31"/>
    </row>
    <row r="32" spans="5:33">
      <c r="G32"/>
      <c r="H32"/>
      <c r="I32"/>
      <c r="J32"/>
    </row>
    <row r="33" spans="7:10">
      <c r="G33"/>
      <c r="H33"/>
      <c r="I33"/>
      <c r="J33"/>
    </row>
    <row r="34" spans="7:10">
      <c r="G34"/>
      <c r="H34"/>
      <c r="I34"/>
      <c r="J34"/>
    </row>
    <row r="35" spans="7:10">
      <c r="G35"/>
      <c r="H35"/>
      <c r="I35"/>
      <c r="J35"/>
    </row>
    <row r="36" spans="7:10">
      <c r="G36"/>
      <c r="H36"/>
      <c r="I36"/>
      <c r="J36"/>
    </row>
    <row r="37" spans="7:10">
      <c r="G37"/>
      <c r="H37"/>
      <c r="I37"/>
      <c r="J37"/>
    </row>
    <row r="38" spans="7:10">
      <c r="G38"/>
      <c r="H38"/>
      <c r="I38"/>
      <c r="J38"/>
    </row>
    <row r="39" spans="7:10">
      <c r="G39"/>
      <c r="H39"/>
      <c r="I39"/>
      <c r="J39"/>
    </row>
    <row r="40" spans="7:10">
      <c r="G40"/>
      <c r="H40"/>
      <c r="I40"/>
      <c r="J40"/>
    </row>
    <row r="41" spans="7:10">
      <c r="G41"/>
      <c r="H41"/>
      <c r="I41"/>
      <c r="J41"/>
    </row>
    <row r="42" spans="7:10">
      <c r="G42"/>
      <c r="H42"/>
      <c r="I42"/>
      <c r="J42"/>
    </row>
    <row r="43" spans="7:10">
      <c r="G43"/>
      <c r="H43"/>
      <c r="I43"/>
      <c r="J43"/>
    </row>
    <row r="44" spans="7:10">
      <c r="G44"/>
      <c r="H44"/>
      <c r="I44"/>
      <c r="J44"/>
    </row>
  </sheetData>
  <mergeCells count="18">
    <mergeCell ref="E17:E21"/>
    <mergeCell ref="L17:L21"/>
    <mergeCell ref="E4:E9"/>
    <mergeCell ref="L4:L9"/>
    <mergeCell ref="E10:E12"/>
    <mergeCell ref="L10:L12"/>
    <mergeCell ref="E13:E16"/>
    <mergeCell ref="L13:L16"/>
    <mergeCell ref="B1:C1"/>
    <mergeCell ref="E1:J1"/>
    <mergeCell ref="L1:T1"/>
    <mergeCell ref="E2:F3"/>
    <mergeCell ref="G2:G3"/>
    <mergeCell ref="H2:J2"/>
    <mergeCell ref="L2:M3"/>
    <mergeCell ref="N2:N3"/>
    <mergeCell ref="O2:Q2"/>
    <mergeCell ref="R2:T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010DD-D2D1-4ECF-B053-492185612EE1}">
  <dimension ref="B1:AF232"/>
  <sheetViews>
    <sheetView tabSelected="1" topLeftCell="G101" zoomScale="102" zoomScaleNormal="102" workbookViewId="0">
      <selection activeCell="X124" sqref="X124"/>
    </sheetView>
  </sheetViews>
  <sheetFormatPr defaultRowHeight="14.4"/>
  <cols>
    <col min="1" max="1" width="2" customWidth="1"/>
    <col min="2" max="2" width="7.44140625" customWidth="1"/>
    <col min="3" max="3" width="31.88671875" customWidth="1"/>
    <col min="4" max="4" width="48.44140625" customWidth="1"/>
    <col min="5" max="5" width="19" bestFit="1" customWidth="1"/>
    <col min="6" max="6" width="34.33203125" customWidth="1"/>
    <col min="7" max="7" width="38.88671875" customWidth="1"/>
    <col min="8" max="8" width="15" customWidth="1"/>
    <col min="9" max="9" width="14.88671875" bestFit="1" customWidth="1"/>
    <col min="10" max="10" width="27" bestFit="1" customWidth="1"/>
    <col min="11" max="11" width="17.6640625" customWidth="1"/>
    <col min="12" max="12" width="18" customWidth="1"/>
    <col min="13" max="14" width="17.6640625" customWidth="1"/>
    <col min="15" max="15" width="17" bestFit="1" customWidth="1"/>
    <col min="16" max="16" width="19.21875" customWidth="1"/>
    <col min="17" max="17" width="11.88671875" bestFit="1" customWidth="1"/>
    <col min="18" max="18" width="22.109375" bestFit="1" customWidth="1"/>
    <col min="19" max="19" width="14" customWidth="1"/>
    <col min="20" max="20" width="14.44140625" bestFit="1" customWidth="1"/>
    <col min="21" max="21" width="9.33203125" bestFit="1" customWidth="1"/>
    <col min="22" max="22" width="13.33203125" bestFit="1" customWidth="1"/>
    <col min="23" max="24" width="16.6640625" bestFit="1" customWidth="1"/>
    <col min="25" max="25" width="15.6640625" bestFit="1" customWidth="1"/>
    <col min="26" max="26" width="13.33203125" bestFit="1" customWidth="1"/>
    <col min="27" max="27" width="21.33203125" bestFit="1" customWidth="1"/>
    <col min="28" max="28" width="17.109375" bestFit="1" customWidth="1"/>
    <col min="29" max="29" width="20.88671875" bestFit="1" customWidth="1"/>
    <col min="33" max="33" width="12.88671875" bestFit="1" customWidth="1"/>
    <col min="35" max="35" width="14.44140625" bestFit="1" customWidth="1"/>
  </cols>
  <sheetData>
    <row r="1" spans="3:32" s="2" customFormat="1" ht="13.8"/>
    <row r="2" spans="3:32" s="2" customFormat="1" ht="13.8">
      <c r="C2" s="358" t="s">
        <v>14</v>
      </c>
      <c r="D2" s="358"/>
      <c r="E2" s="358"/>
      <c r="F2" s="358"/>
      <c r="G2" s="358"/>
      <c r="H2" s="358"/>
    </row>
    <row r="3" spans="3:32" s="2" customFormat="1">
      <c r="P3"/>
      <c r="Q3"/>
      <c r="R3"/>
      <c r="S3"/>
      <c r="AF3" s="3"/>
    </row>
    <row r="4" spans="3:32" s="2" customFormat="1" ht="15.6">
      <c r="C4" s="359" t="s">
        <v>5</v>
      </c>
      <c r="D4" s="359"/>
      <c r="E4" s="359"/>
      <c r="F4" s="359"/>
      <c r="H4" s="360" t="s">
        <v>10</v>
      </c>
      <c r="I4" s="360"/>
      <c r="J4" s="360"/>
      <c r="L4" s="386" t="s">
        <v>113</v>
      </c>
      <c r="M4" s="386"/>
      <c r="N4" s="174"/>
      <c r="O4" s="156"/>
      <c r="P4" s="156"/>
      <c r="Q4"/>
      <c r="R4" s="167">
        <v>730</v>
      </c>
      <c r="S4" s="167">
        <v>242</v>
      </c>
      <c r="AE4" s="4"/>
    </row>
    <row r="5" spans="3:32" s="2" customFormat="1" ht="41.4">
      <c r="C5" s="166" t="s">
        <v>9</v>
      </c>
      <c r="D5" s="166" t="s">
        <v>8</v>
      </c>
      <c r="E5" s="166" t="s">
        <v>7</v>
      </c>
      <c r="F5" s="166" t="s">
        <v>6</v>
      </c>
      <c r="G5" s="7"/>
      <c r="H5" s="166" t="s">
        <v>11</v>
      </c>
      <c r="I5" s="166" t="s">
        <v>12</v>
      </c>
      <c r="J5" s="166" t="s">
        <v>13</v>
      </c>
      <c r="L5" s="168" t="s">
        <v>9</v>
      </c>
      <c r="M5" s="166" t="s">
        <v>114</v>
      </c>
      <c r="N5" s="166"/>
      <c r="O5" s="166" t="s">
        <v>114</v>
      </c>
      <c r="P5" s="169" t="s">
        <v>241</v>
      </c>
      <c r="R5" s="167">
        <f>730+R4</f>
        <v>1460</v>
      </c>
      <c r="S5" s="167">
        <v>231</v>
      </c>
      <c r="AE5" s="4"/>
    </row>
    <row r="6" spans="3:32" s="2" customFormat="1">
      <c r="C6" s="164">
        <v>0</v>
      </c>
      <c r="D6" s="309">
        <v>13.5</v>
      </c>
      <c r="E6" s="310">
        <f t="shared" ref="E6:E11" si="0">F6*D6/1000000</f>
        <v>0.33750000000000002</v>
      </c>
      <c r="F6" s="311">
        <v>25000</v>
      </c>
      <c r="G6" s="2" t="s">
        <v>238</v>
      </c>
      <c r="H6" s="309">
        <v>0</v>
      </c>
      <c r="I6" s="309"/>
      <c r="J6" s="309"/>
      <c r="L6" s="167">
        <v>0</v>
      </c>
      <c r="M6" s="170">
        <v>0.123</v>
      </c>
      <c r="N6" s="314">
        <v>0.246</v>
      </c>
      <c r="O6" s="314">
        <v>0.36899999999999999</v>
      </c>
      <c r="P6" s="315">
        <f t="shared" ref="P6:P11" si="1">E6*(1+0.19)</f>
        <v>0.40162500000000001</v>
      </c>
      <c r="Q6"/>
      <c r="R6" s="167">
        <f t="shared" ref="R6:R15" si="2">730+R5</f>
        <v>2190</v>
      </c>
      <c r="S6" s="167">
        <v>231</v>
      </c>
      <c r="AE6" s="4"/>
    </row>
    <row r="7" spans="3:32" s="2" customFormat="1">
      <c r="C7" s="165">
        <v>2190</v>
      </c>
      <c r="D7" s="309">
        <v>12.9</v>
      </c>
      <c r="E7" s="310">
        <f t="shared" si="0"/>
        <v>0.32250000000000001</v>
      </c>
      <c r="F7" s="311">
        <v>25000</v>
      </c>
      <c r="H7" s="309">
        <v>2190</v>
      </c>
      <c r="I7" s="312">
        <f>((P6+P7)*(L7-L6)/2)</f>
        <v>860.01300000000003</v>
      </c>
      <c r="J7" s="312">
        <f>I6+I7</f>
        <v>860.01300000000003</v>
      </c>
      <c r="L7" s="167">
        <v>2190</v>
      </c>
      <c r="M7" s="170">
        <v>0.123</v>
      </c>
      <c r="N7" s="314">
        <v>0.246</v>
      </c>
      <c r="O7" s="314">
        <v>0.36899999999999999</v>
      </c>
      <c r="P7" s="315">
        <f t="shared" si="1"/>
        <v>0.38377499999999998</v>
      </c>
      <c r="Q7"/>
      <c r="R7" s="167">
        <f t="shared" si="2"/>
        <v>2920</v>
      </c>
      <c r="S7" s="167">
        <v>154</v>
      </c>
      <c r="AE7" s="4"/>
    </row>
    <row r="8" spans="3:32" s="2" customFormat="1">
      <c r="C8" s="165">
        <v>3650</v>
      </c>
      <c r="D8" s="309">
        <v>8</v>
      </c>
      <c r="E8" s="310">
        <f t="shared" si="0"/>
        <v>0.2</v>
      </c>
      <c r="F8" s="311">
        <v>25000</v>
      </c>
      <c r="H8" s="309">
        <v>3650</v>
      </c>
      <c r="I8" s="312">
        <f>((P7+P8)*(L8-L7)/2)</f>
        <v>453.89574999999996</v>
      </c>
      <c r="J8" s="312">
        <f>J7+I8</f>
        <v>1313.9087500000001</v>
      </c>
      <c r="L8" s="167">
        <v>3650</v>
      </c>
      <c r="M8" s="170">
        <v>0.123</v>
      </c>
      <c r="N8" s="314">
        <v>0.246</v>
      </c>
      <c r="O8" s="314">
        <v>0.36899999999999999</v>
      </c>
      <c r="P8" s="315">
        <f t="shared" si="1"/>
        <v>0.23799999999999999</v>
      </c>
      <c r="Q8"/>
      <c r="R8" s="167">
        <f t="shared" si="2"/>
        <v>3650</v>
      </c>
      <c r="S8" s="167">
        <v>143</v>
      </c>
      <c r="AE8" s="4"/>
    </row>
    <row r="9" spans="3:32" s="2" customFormat="1">
      <c r="C9" s="165">
        <v>4380</v>
      </c>
      <c r="D9" s="309">
        <v>3.07</v>
      </c>
      <c r="E9" s="310">
        <f t="shared" si="0"/>
        <v>7.6749999999999999E-2</v>
      </c>
      <c r="F9" s="311">
        <v>25000</v>
      </c>
      <c r="H9" s="309">
        <v>4380</v>
      </c>
      <c r="I9" s="312">
        <f>((P8+P9)*(L9-L8)/2)</f>
        <v>120.20636249999998</v>
      </c>
      <c r="J9" s="312">
        <f>J8+I9</f>
        <v>1434.1151125000001</v>
      </c>
      <c r="L9" s="167">
        <v>4380</v>
      </c>
      <c r="M9" s="170">
        <v>0.123</v>
      </c>
      <c r="N9" s="314">
        <v>0.246</v>
      </c>
      <c r="O9" s="314">
        <v>0.36899999999999999</v>
      </c>
      <c r="P9" s="315">
        <f t="shared" si="1"/>
        <v>9.1332499999999997E-2</v>
      </c>
      <c r="Q9"/>
      <c r="R9" s="167">
        <f t="shared" si="2"/>
        <v>4380</v>
      </c>
      <c r="S9" s="167">
        <v>55</v>
      </c>
      <c r="AE9" s="4"/>
    </row>
    <row r="10" spans="3:32" s="2" customFormat="1">
      <c r="C10" s="165">
        <v>5840</v>
      </c>
      <c r="D10" s="309">
        <v>1.75</v>
      </c>
      <c r="E10" s="310">
        <f t="shared" si="0"/>
        <v>4.3749999999999997E-2</v>
      </c>
      <c r="F10" s="311">
        <v>25000</v>
      </c>
      <c r="H10" s="309">
        <v>5840</v>
      </c>
      <c r="I10" s="312">
        <f>((P9+P10)*(L10-L9)/2)</f>
        <v>104.67834999999999</v>
      </c>
      <c r="J10" s="312">
        <f>J9+I10</f>
        <v>1538.7934625</v>
      </c>
      <c r="L10" s="167">
        <v>5840</v>
      </c>
      <c r="M10" s="170">
        <v>0.123</v>
      </c>
      <c r="N10" s="314">
        <v>0.246</v>
      </c>
      <c r="O10" s="314">
        <v>0.36899999999999999</v>
      </c>
      <c r="P10" s="315">
        <f t="shared" si="1"/>
        <v>5.2062499999999998E-2</v>
      </c>
      <c r="Q10"/>
      <c r="R10" s="167">
        <f t="shared" si="2"/>
        <v>5110</v>
      </c>
      <c r="S10" s="167">
        <v>44</v>
      </c>
      <c r="AE10" s="4"/>
    </row>
    <row r="11" spans="3:32" s="2" customFormat="1">
      <c r="C11" s="165">
        <v>8760</v>
      </c>
      <c r="D11" s="309">
        <v>1.75</v>
      </c>
      <c r="E11" s="310">
        <f t="shared" si="0"/>
        <v>4.3749999999999997E-2</v>
      </c>
      <c r="F11" s="311">
        <v>25000</v>
      </c>
      <c r="H11" s="309">
        <v>8760</v>
      </c>
      <c r="I11" s="312">
        <f>((P10+P11)*(L11-L10)/2)</f>
        <v>152.02249999999998</v>
      </c>
      <c r="J11" s="313">
        <f>J10+I11</f>
        <v>1690.8159625000001</v>
      </c>
      <c r="L11" s="167">
        <v>8760</v>
      </c>
      <c r="M11" s="170">
        <v>0.123</v>
      </c>
      <c r="N11" s="314">
        <v>0.246</v>
      </c>
      <c r="O11" s="314">
        <v>0.36899999999999999</v>
      </c>
      <c r="P11" s="315">
        <f t="shared" si="1"/>
        <v>5.2062499999999998E-2</v>
      </c>
      <c r="Q11"/>
      <c r="R11" s="167">
        <f t="shared" si="2"/>
        <v>5840</v>
      </c>
      <c r="S11" s="167">
        <v>30</v>
      </c>
      <c r="AE11" s="4"/>
    </row>
    <row r="12" spans="3:32" s="2" customFormat="1">
      <c r="O12"/>
      <c r="P12"/>
      <c r="Q12"/>
      <c r="R12" s="167">
        <f t="shared" si="2"/>
        <v>6570</v>
      </c>
      <c r="S12" s="167">
        <v>30</v>
      </c>
      <c r="AF12" s="4"/>
    </row>
    <row r="13" spans="3:32" s="2" customFormat="1">
      <c r="M13" s="2" t="s">
        <v>239</v>
      </c>
      <c r="N13" s="2" t="s">
        <v>240</v>
      </c>
      <c r="Q13"/>
      <c r="R13" s="167">
        <f t="shared" si="2"/>
        <v>7300</v>
      </c>
      <c r="S13" s="167">
        <v>30</v>
      </c>
      <c r="AF13" s="4"/>
    </row>
    <row r="14" spans="3:32" s="2" customFormat="1" ht="12" customHeight="1">
      <c r="M14" s="316">
        <v>123</v>
      </c>
      <c r="N14" s="316">
        <v>66</v>
      </c>
      <c r="R14" s="167">
        <f t="shared" si="2"/>
        <v>8030</v>
      </c>
      <c r="S14" s="167">
        <v>30</v>
      </c>
      <c r="AF14" s="4"/>
    </row>
    <row r="15" spans="3:32" s="2" customFormat="1" ht="13.8">
      <c r="R15" s="167">
        <f t="shared" si="2"/>
        <v>8760</v>
      </c>
      <c r="S15" s="167">
        <v>30</v>
      </c>
      <c r="AF15" s="4"/>
    </row>
    <row r="16" spans="3:32" s="2" customFormat="1" ht="13.8">
      <c r="AF16" s="4"/>
    </row>
    <row r="17" spans="32:32" s="2" customFormat="1" ht="13.8">
      <c r="AF17" s="4"/>
    </row>
    <row r="18" spans="32:32" s="2" customFormat="1" ht="13.8">
      <c r="AF18" s="4"/>
    </row>
    <row r="19" spans="32:32" s="2" customFormat="1" ht="13.8">
      <c r="AF19" s="4"/>
    </row>
    <row r="20" spans="32:32" s="2" customFormat="1" ht="13.8">
      <c r="AF20" s="4"/>
    </row>
    <row r="21" spans="32:32" s="2" customFormat="1" ht="13.8">
      <c r="AF21" s="4"/>
    </row>
    <row r="22" spans="32:32" s="2" customFormat="1" ht="13.8">
      <c r="AF22" s="4"/>
    </row>
    <row r="23" spans="32:32" s="2" customFormat="1" ht="13.8">
      <c r="AF23" s="4"/>
    </row>
    <row r="24" spans="32:32" s="2" customFormat="1" ht="13.8">
      <c r="AF24" s="4"/>
    </row>
    <row r="25" spans="32:32" s="2" customFormat="1" ht="13.8">
      <c r="AF25" s="4"/>
    </row>
    <row r="26" spans="32:32" s="2" customFormat="1" ht="13.8">
      <c r="AF26" s="4"/>
    </row>
    <row r="27" spans="32:32" s="2" customFormat="1" ht="13.8">
      <c r="AF27" s="4"/>
    </row>
    <row r="28" spans="32:32" s="2" customFormat="1" ht="13.8">
      <c r="AF28" s="4"/>
    </row>
    <row r="29" spans="32:32" s="2" customFormat="1" ht="13.8">
      <c r="AF29" s="4"/>
    </row>
    <row r="30" spans="32:32" s="2" customFormat="1" ht="13.8">
      <c r="AF30" s="4"/>
    </row>
    <row r="31" spans="32:32" s="2" customFormat="1" ht="13.8">
      <c r="AF31" s="4"/>
    </row>
    <row r="32" spans="32:32" s="2" customFormat="1" ht="13.8">
      <c r="AF32" s="4"/>
    </row>
    <row r="33" spans="2:32" s="2" customFormat="1" ht="13.8">
      <c r="AF33" s="4"/>
    </row>
    <row r="34" spans="2:32" s="2" customFormat="1" ht="13.8">
      <c r="AF34" s="4"/>
    </row>
    <row r="35" spans="2:32" s="2" customFormat="1" ht="13.8">
      <c r="AF35" s="4"/>
    </row>
    <row r="36" spans="2:32" s="2" customFormat="1" ht="13.8">
      <c r="AF36" s="4"/>
    </row>
    <row r="37" spans="2:32" s="2" customFormat="1" ht="13.8">
      <c r="AF37" s="4"/>
    </row>
    <row r="38" spans="2:32" s="2" customFormat="1" ht="13.8">
      <c r="AF38" s="4"/>
    </row>
    <row r="39" spans="2:32" s="2" customFormat="1" ht="13.8">
      <c r="AF39" s="4"/>
    </row>
    <row r="40" spans="2:32" s="2" customFormat="1" ht="13.8">
      <c r="AF40" s="4"/>
    </row>
    <row r="41" spans="2:32" s="2" customFormat="1" ht="13.8">
      <c r="AF41" s="4"/>
    </row>
    <row r="42" spans="2:32" s="2" customFormat="1" ht="13.8">
      <c r="AF42" s="4"/>
    </row>
    <row r="43" spans="2:32" s="2" customFormat="1" ht="13.8">
      <c r="AF43" s="4"/>
    </row>
    <row r="44" spans="2:32" s="2" customFormat="1" ht="13.8">
      <c r="AF44" s="4"/>
    </row>
    <row r="45" spans="2:32" s="2" customFormat="1" ht="13.8">
      <c r="AF45" s="4"/>
    </row>
    <row r="46" spans="2:32" s="2" customFormat="1" thickBot="1">
      <c r="AF46" s="4"/>
    </row>
    <row r="47" spans="2:32" s="2" customFormat="1" ht="12.75" customHeight="1">
      <c r="B47" s="364" t="s">
        <v>117</v>
      </c>
      <c r="C47" s="367" t="s">
        <v>117</v>
      </c>
      <c r="D47" s="368"/>
      <c r="E47" s="368"/>
      <c r="F47" s="368"/>
      <c r="G47" s="368"/>
      <c r="H47" s="368"/>
      <c r="I47" s="368"/>
      <c r="J47" s="368"/>
      <c r="K47" s="368"/>
      <c r="L47" s="368"/>
      <c r="M47" s="368"/>
      <c r="N47" s="368"/>
      <c r="O47" s="368"/>
      <c r="P47" s="368"/>
      <c r="Q47" s="368"/>
      <c r="R47" s="368"/>
      <c r="S47" s="368"/>
      <c r="T47" s="368"/>
      <c r="U47" s="368"/>
      <c r="V47" s="368"/>
      <c r="W47" s="368"/>
      <c r="X47" s="369"/>
      <c r="AF47" s="4"/>
    </row>
    <row r="48" spans="2:32" s="2" customFormat="1" ht="12.75" customHeight="1">
      <c r="B48" s="365"/>
      <c r="C48" s="370"/>
      <c r="D48" s="371"/>
      <c r="E48" s="371"/>
      <c r="F48" s="371"/>
      <c r="G48" s="371"/>
      <c r="H48" s="371"/>
      <c r="I48" s="371"/>
      <c r="J48" s="371"/>
      <c r="K48" s="371"/>
      <c r="L48" s="371"/>
      <c r="M48" s="371"/>
      <c r="N48" s="371"/>
      <c r="O48" s="371"/>
      <c r="P48" s="371"/>
      <c r="Q48" s="371"/>
      <c r="R48" s="371"/>
      <c r="S48" s="371"/>
      <c r="T48" s="371"/>
      <c r="U48" s="371"/>
      <c r="V48" s="371"/>
      <c r="W48" s="371"/>
      <c r="X48" s="372"/>
      <c r="AF48" s="4"/>
    </row>
    <row r="49" spans="2:32" s="2" customFormat="1" ht="12.75" customHeight="1">
      <c r="B49" s="365"/>
      <c r="C49" s="370"/>
      <c r="D49" s="371"/>
      <c r="E49" s="371"/>
      <c r="F49" s="371"/>
      <c r="G49" s="371"/>
      <c r="H49" s="371"/>
      <c r="I49" s="371"/>
      <c r="J49" s="371"/>
      <c r="K49" s="371"/>
      <c r="L49" s="371"/>
      <c r="M49" s="371"/>
      <c r="N49" s="371"/>
      <c r="O49" s="371"/>
      <c r="P49" s="371"/>
      <c r="Q49" s="371"/>
      <c r="R49" s="371"/>
      <c r="S49" s="371"/>
      <c r="T49" s="371"/>
      <c r="U49" s="371"/>
      <c r="V49" s="371"/>
      <c r="W49" s="371"/>
      <c r="X49" s="372"/>
      <c r="AF49" s="4"/>
    </row>
    <row r="50" spans="2:32" s="2" customFormat="1" ht="13.8">
      <c r="B50" s="365"/>
      <c r="C50" s="84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86"/>
      <c r="AF50" s="4"/>
    </row>
    <row r="51" spans="2:32" s="2" customFormat="1" ht="15.75" customHeight="1">
      <c r="B51" s="365"/>
      <c r="C51" s="111"/>
      <c r="D51" s="65"/>
      <c r="E51" s="65"/>
      <c r="F51" s="65"/>
      <c r="G51" s="373" t="s">
        <v>15</v>
      </c>
      <c r="H51" s="373"/>
      <c r="I51" s="373"/>
      <c r="J51" s="373"/>
      <c r="K51" s="65"/>
      <c r="L51" s="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112"/>
      <c r="AF51" s="4"/>
    </row>
    <row r="52" spans="2:32" s="2" customFormat="1" ht="13.5" customHeight="1">
      <c r="B52" s="365"/>
      <c r="C52" s="111"/>
      <c r="D52" s="113" t="s">
        <v>91</v>
      </c>
      <c r="E52" s="65"/>
      <c r="F52" s="65"/>
      <c r="G52" s="374" t="s">
        <v>46</v>
      </c>
      <c r="H52" s="374"/>
      <c r="I52" s="374"/>
      <c r="J52" s="374"/>
      <c r="K52" s="65"/>
      <c r="L52" s="5"/>
      <c r="M52" s="5"/>
      <c r="N52" s="5"/>
      <c r="O52" s="5"/>
      <c r="P52" s="5"/>
      <c r="Q52" s="5"/>
      <c r="R52" s="5"/>
      <c r="S52" s="5"/>
      <c r="T52" s="65"/>
      <c r="U52" s="65"/>
      <c r="V52" s="65"/>
      <c r="W52" s="65"/>
      <c r="X52" s="112"/>
      <c r="AF52" s="4"/>
    </row>
    <row r="53" spans="2:32" s="2" customFormat="1" ht="29.25" customHeight="1">
      <c r="B53" s="365"/>
      <c r="C53" s="111"/>
      <c r="D53" s="129">
        <v>0.9</v>
      </c>
      <c r="E53" s="154"/>
      <c r="F53" s="1"/>
      <c r="G53" s="375" t="s">
        <v>17</v>
      </c>
      <c r="H53" s="375"/>
      <c r="I53" s="375"/>
      <c r="J53" s="375"/>
      <c r="K53" s="66"/>
      <c r="L53" s="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112"/>
      <c r="AF53" s="4"/>
    </row>
    <row r="54" spans="2:32" s="2" customFormat="1" thickBot="1">
      <c r="B54" s="365"/>
      <c r="C54" s="111"/>
      <c r="D54" s="65"/>
      <c r="E54" s="65"/>
      <c r="F54" s="65"/>
      <c r="G54" s="65"/>
      <c r="H54" s="65"/>
      <c r="I54" s="65"/>
      <c r="J54" s="65"/>
      <c r="K54" s="65"/>
      <c r="L54" s="150" t="s">
        <v>94</v>
      </c>
      <c r="M54" s="150" t="s">
        <v>95</v>
      </c>
      <c r="N54" s="175"/>
      <c r="O54" s="5"/>
      <c r="P54" s="65"/>
      <c r="Q54" s="65"/>
      <c r="R54" s="65"/>
      <c r="S54" s="65"/>
      <c r="T54" s="65"/>
      <c r="U54" s="65"/>
      <c r="V54" s="65"/>
      <c r="W54" s="65"/>
      <c r="X54" s="112"/>
      <c r="AF54" s="4"/>
    </row>
    <row r="55" spans="2:32" s="2" customFormat="1" thickBot="1">
      <c r="B55" s="365"/>
      <c r="C55" s="111"/>
      <c r="D55" s="65"/>
      <c r="E55" s="131" t="s">
        <v>93</v>
      </c>
      <c r="F55" s="65"/>
      <c r="G55" s="65"/>
      <c r="H55" s="65"/>
      <c r="I55" s="114"/>
      <c r="J55" s="65"/>
      <c r="K55" s="65"/>
      <c r="L55" s="9">
        <f>N14</f>
        <v>66</v>
      </c>
      <c r="M55" s="153">
        <f>(N78*O78+N79*O79+N80*O80)*D53</f>
        <v>789.54480000000001</v>
      </c>
      <c r="N55" s="183"/>
      <c r="O55" s="133"/>
      <c r="P55" s="65"/>
      <c r="Q55" s="5"/>
      <c r="R55" s="65"/>
      <c r="S55" s="65"/>
      <c r="T55" s="65"/>
      <c r="U55" s="65"/>
      <c r="V55" s="65"/>
      <c r="W55" s="65"/>
      <c r="X55" s="112"/>
      <c r="AF55" s="4"/>
    </row>
    <row r="56" spans="2:32" s="2" customFormat="1" thickBot="1">
      <c r="B56" s="365"/>
      <c r="C56" s="111"/>
      <c r="D56" s="65" t="s">
        <v>18</v>
      </c>
      <c r="E56" s="132">
        <f>(L55+L65)/F60</f>
        <v>233.33333333333331</v>
      </c>
      <c r="F56" s="65"/>
      <c r="G56" s="65"/>
      <c r="H56" s="65"/>
      <c r="I56" s="171"/>
      <c r="J56" s="65"/>
      <c r="K56" s="65"/>
      <c r="L56" s="65"/>
      <c r="M56" s="10"/>
      <c r="N56" s="65"/>
      <c r="O56" s="65"/>
      <c r="P56" s="135" t="s">
        <v>19</v>
      </c>
      <c r="Q56" s="5"/>
      <c r="R56" s="65"/>
      <c r="S56" s="65"/>
      <c r="T56" s="65"/>
      <c r="U56" s="65"/>
      <c r="V56" s="65"/>
      <c r="W56" s="65"/>
      <c r="X56" s="112"/>
      <c r="AF56" s="4"/>
    </row>
    <row r="57" spans="2:32" s="2" customFormat="1" thickBot="1">
      <c r="B57" s="365"/>
      <c r="C57" s="111"/>
      <c r="D57" s="376" t="s">
        <v>54</v>
      </c>
      <c r="E57" s="114" t="s">
        <v>98</v>
      </c>
      <c r="F57" s="65"/>
      <c r="G57" s="65"/>
      <c r="H57" s="65"/>
      <c r="I57" s="172"/>
      <c r="J57" s="65"/>
      <c r="K57" s="65"/>
      <c r="L57" s="65"/>
      <c r="M57" s="65"/>
      <c r="N57" s="65"/>
      <c r="O57" s="65"/>
      <c r="P57" s="136">
        <f>M55/E58</f>
        <v>0.28285714285714286</v>
      </c>
      <c r="Q57" s="65"/>
      <c r="R57" s="65"/>
      <c r="S57" s="5"/>
      <c r="T57" s="65"/>
      <c r="U57" s="65"/>
      <c r="V57" s="65"/>
      <c r="W57" s="65"/>
      <c r="X57" s="112"/>
      <c r="AF57" s="4"/>
    </row>
    <row r="58" spans="2:32" s="2" customFormat="1" thickBot="1">
      <c r="B58" s="365"/>
      <c r="C58" s="111"/>
      <c r="D58" s="376"/>
      <c r="E58" s="132">
        <f>M55/F85</f>
        <v>2791.32</v>
      </c>
      <c r="F58" s="8"/>
      <c r="G58" s="65"/>
      <c r="H58" s="65"/>
      <c r="I58" s="173"/>
      <c r="J58" s="65"/>
      <c r="K58" s="65"/>
      <c r="L58" s="65"/>
      <c r="M58" s="65"/>
      <c r="N58" s="65"/>
      <c r="O58" s="65"/>
      <c r="P58" s="65"/>
      <c r="Q58" s="65"/>
      <c r="R58" s="65"/>
      <c r="S58" s="5"/>
      <c r="T58" s="65"/>
      <c r="U58" s="5"/>
      <c r="V58" s="5"/>
      <c r="W58" s="65"/>
      <c r="X58" s="112"/>
      <c r="AF58" s="4"/>
    </row>
    <row r="59" spans="2:32" s="2" customFormat="1" ht="23.4">
      <c r="B59" s="365"/>
      <c r="C59" s="111"/>
      <c r="D59" s="376"/>
      <c r="E59" s="65"/>
      <c r="F59" s="150" t="s">
        <v>126</v>
      </c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115" t="s">
        <v>2</v>
      </c>
      <c r="R59" s="152">
        <f>1-(1/((P57/D69)+(P61/D72)))</f>
        <v>0.27659055736617122</v>
      </c>
      <c r="S59" s="5"/>
      <c r="T59" s="178"/>
      <c r="U59" s="179"/>
      <c r="V59" s="158"/>
      <c r="W59" s="178"/>
      <c r="X59" s="112"/>
      <c r="AF59" s="4"/>
    </row>
    <row r="60" spans="2:32" s="2" customFormat="1" ht="23.4">
      <c r="B60" s="365"/>
      <c r="C60" s="111"/>
      <c r="D60" s="376"/>
      <c r="E60" s="65"/>
      <c r="F60" s="130">
        <v>0.81</v>
      </c>
      <c r="G60" s="65"/>
      <c r="H60" s="65"/>
      <c r="I60" s="114"/>
      <c r="J60" s="65"/>
      <c r="K60" s="65"/>
      <c r="L60" s="65"/>
      <c r="M60" s="65"/>
      <c r="N60" s="65"/>
      <c r="O60" s="65"/>
      <c r="P60" s="116" t="s">
        <v>21</v>
      </c>
      <c r="Q60" s="65"/>
      <c r="R60" s="138"/>
      <c r="S60" s="5"/>
      <c r="T60" s="180"/>
      <c r="U60" s="179"/>
      <c r="V60" s="178"/>
      <c r="W60" s="180"/>
      <c r="X60" s="86"/>
      <c r="AF60" s="4"/>
    </row>
    <row r="61" spans="2:32" s="2" customFormat="1" ht="13.8">
      <c r="B61" s="365"/>
      <c r="C61" s="111"/>
      <c r="D61" s="376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5"/>
      <c r="P61" s="137">
        <f>M65/E58</f>
        <v>0.47335281990241179</v>
      </c>
      <c r="Q61" s="65"/>
      <c r="R61" s="65"/>
      <c r="S61" s="5"/>
      <c r="T61" s="181"/>
      <c r="U61" s="178"/>
      <c r="V61" s="178"/>
      <c r="W61" s="182"/>
      <c r="X61" s="86"/>
      <c r="AF61" s="4"/>
    </row>
    <row r="62" spans="2:32" s="2" customFormat="1" ht="13.8">
      <c r="B62" s="365"/>
      <c r="C62" s="111"/>
      <c r="D62" s="376"/>
      <c r="E62" s="65"/>
      <c r="F62" s="65"/>
      <c r="G62" s="65"/>
      <c r="H62" s="65"/>
      <c r="I62" s="5"/>
      <c r="J62" s="65"/>
      <c r="K62" s="65"/>
      <c r="L62" s="65"/>
      <c r="M62" s="65"/>
      <c r="N62" s="65"/>
      <c r="O62" s="65"/>
      <c r="P62" s="65"/>
      <c r="Q62" s="5"/>
      <c r="R62" s="65"/>
      <c r="S62" s="5"/>
      <c r="T62" s="178"/>
      <c r="U62" s="158"/>
      <c r="V62" s="158"/>
      <c r="W62" s="158"/>
      <c r="X62" s="86"/>
      <c r="AF62" s="4"/>
    </row>
    <row r="63" spans="2:32" s="2" customFormat="1">
      <c r="B63" s="365"/>
      <c r="C63" s="111"/>
      <c r="D63" s="117"/>
      <c r="E63" s="65"/>
      <c r="F63" s="65"/>
      <c r="G63" s="65"/>
      <c r="H63" s="65"/>
      <c r="I63" s="5"/>
      <c r="J63" s="65"/>
      <c r="K63" s="65"/>
      <c r="L63" s="65"/>
      <c r="M63" s="65"/>
      <c r="N63" s="65"/>
      <c r="O63" s="65"/>
      <c r="P63" s="1"/>
      <c r="Q63" s="5"/>
      <c r="R63" s="5"/>
      <c r="S63" s="5"/>
      <c r="T63" s="158"/>
      <c r="U63" s="158"/>
      <c r="V63" s="158"/>
      <c r="W63" s="178"/>
      <c r="X63" s="112"/>
      <c r="AF63" s="4"/>
    </row>
    <row r="64" spans="2:32" s="2" customFormat="1" ht="15.75" customHeight="1" thickBot="1">
      <c r="B64" s="365"/>
      <c r="C64" s="111"/>
      <c r="D64" s="377" t="s">
        <v>24</v>
      </c>
      <c r="E64" s="65"/>
      <c r="F64" s="65"/>
      <c r="G64" s="65"/>
      <c r="H64" s="65"/>
      <c r="I64" s="65"/>
      <c r="J64" s="65"/>
      <c r="K64" s="65"/>
      <c r="L64" s="150" t="s">
        <v>96</v>
      </c>
      <c r="M64" s="150" t="s">
        <v>97</v>
      </c>
      <c r="N64" s="175"/>
      <c r="O64" s="5"/>
      <c r="P64" s="373" t="s">
        <v>22</v>
      </c>
      <c r="Q64" s="373"/>
      <c r="R64" s="373"/>
      <c r="S64" s="65"/>
      <c r="T64" s="158"/>
      <c r="U64" s="158"/>
      <c r="V64" s="158"/>
      <c r="W64" s="178"/>
      <c r="X64" s="112"/>
      <c r="AF64" s="4"/>
    </row>
    <row r="65" spans="2:32" s="2" customFormat="1" ht="15.75" customHeight="1" thickBot="1">
      <c r="B65" s="365"/>
      <c r="C65" s="111"/>
      <c r="D65" s="377"/>
      <c r="E65" s="65"/>
      <c r="F65" s="65"/>
      <c r="G65" s="65"/>
      <c r="H65" s="65"/>
      <c r="I65" s="65"/>
      <c r="J65" s="65"/>
      <c r="K65" s="65"/>
      <c r="L65" s="9">
        <f>M14</f>
        <v>123</v>
      </c>
      <c r="M65" s="134">
        <f>((K79*L65+K83*L65+K87*L65)/1000+M98+Q98+U98)*D53</f>
        <v>1321.2791932500002</v>
      </c>
      <c r="N65" s="184"/>
      <c r="O65" s="8"/>
      <c r="P65" s="378" t="s">
        <v>23</v>
      </c>
      <c r="Q65" s="378"/>
      <c r="R65" s="378"/>
      <c r="S65" s="65">
        <f>MATCH(P65,'TABELLE&amp;REG.DEL.UE 2015 24'!R3:T3,0)</f>
        <v>1</v>
      </c>
      <c r="T65" s="158"/>
      <c r="U65" s="158"/>
      <c r="V65" s="158"/>
      <c r="W65" s="178"/>
      <c r="X65" s="112"/>
      <c r="AF65" s="4"/>
    </row>
    <row r="66" spans="2:32" s="2" customFormat="1" ht="15.6" thickBot="1">
      <c r="B66" s="365"/>
      <c r="C66" s="111"/>
      <c r="D66" s="377"/>
      <c r="E66" s="65"/>
      <c r="F66" s="65"/>
      <c r="G66" s="65"/>
      <c r="H66" s="148" t="s">
        <v>25</v>
      </c>
      <c r="I66" s="113"/>
      <c r="J66" s="113" t="s">
        <v>26</v>
      </c>
      <c r="K66" s="65"/>
      <c r="L66" s="65"/>
      <c r="M66" s="65"/>
      <c r="N66" s="65"/>
      <c r="O66" s="65"/>
      <c r="P66" s="65"/>
      <c r="Q66" s="5"/>
      <c r="R66" s="65"/>
      <c r="S66" s="65"/>
      <c r="T66" s="65"/>
      <c r="U66" s="65"/>
      <c r="V66" s="65"/>
      <c r="W66" s="65"/>
      <c r="X66" s="112"/>
      <c r="AF66" s="4"/>
    </row>
    <row r="67" spans="2:32" s="2" customFormat="1" ht="16.5" customHeight="1" thickBot="1">
      <c r="B67" s="365"/>
      <c r="C67" s="111"/>
      <c r="D67" s="65"/>
      <c r="E67" s="65"/>
      <c r="F67" s="65"/>
      <c r="G67" s="65"/>
      <c r="H67" s="11">
        <f>(M55+M65)/E58</f>
        <v>0.75620996275955454</v>
      </c>
      <c r="I67" s="149" t="s">
        <v>27</v>
      </c>
      <c r="J67" s="12">
        <f>VLOOKUP(G52,'TABELLE&amp;REG.DEL.UE 2015 24'!B3:C14,2,FALSE)</f>
        <v>0.75</v>
      </c>
      <c r="K67" s="65"/>
      <c r="L67"/>
      <c r="M67"/>
      <c r="N67"/>
      <c r="O67" s="118"/>
      <c r="P67" s="118"/>
      <c r="Q67" s="118"/>
      <c r="R67" s="118"/>
      <c r="S67" s="65"/>
      <c r="T67" s="65"/>
      <c r="U67" s="65"/>
      <c r="V67" s="65"/>
      <c r="W67" s="65"/>
      <c r="X67" s="112"/>
      <c r="AF67" s="4"/>
    </row>
    <row r="68" spans="2:32" s="2" customFormat="1" ht="15" customHeight="1">
      <c r="B68" s="365"/>
      <c r="C68" s="111"/>
      <c r="D68" s="119" t="s">
        <v>28</v>
      </c>
      <c r="E68" s="65"/>
      <c r="F68" s="65"/>
      <c r="G68" s="65"/>
      <c r="H68" s="13"/>
      <c r="I68" s="65"/>
      <c r="J68" s="65"/>
      <c r="K68" s="65"/>
      <c r="L68"/>
      <c r="M68"/>
      <c r="N68"/>
      <c r="O68"/>
      <c r="P68" s="118"/>
      <c r="Q68" s="118"/>
      <c r="R68" s="118"/>
      <c r="S68" s="1"/>
      <c r="T68" s="117"/>
      <c r="U68" s="117"/>
      <c r="V68" s="117"/>
      <c r="W68" s="117"/>
      <c r="X68" s="120"/>
      <c r="AF68" s="4"/>
    </row>
    <row r="69" spans="2:32" s="2" customFormat="1">
      <c r="B69" s="365"/>
      <c r="C69" s="111"/>
      <c r="D69" s="139">
        <v>0.34</v>
      </c>
      <c r="E69" s="65"/>
      <c r="F69" s="65"/>
      <c r="G69" s="65"/>
      <c r="H69" s="65"/>
      <c r="I69" s="65"/>
      <c r="J69" s="65"/>
      <c r="K69" s="65"/>
      <c r="L69"/>
      <c r="M69"/>
      <c r="N69"/>
      <c r="O69"/>
      <c r="P69" s="118"/>
      <c r="Q69" s="118"/>
      <c r="R69" s="118"/>
      <c r="S69" s="1"/>
      <c r="T69" s="117"/>
      <c r="U69" s="117"/>
      <c r="V69" s="117"/>
      <c r="W69" s="117"/>
      <c r="X69" s="120"/>
      <c r="AF69" s="4"/>
    </row>
    <row r="70" spans="2:32" s="2" customFormat="1">
      <c r="B70" s="365"/>
      <c r="C70" s="111"/>
      <c r="D70" s="65"/>
      <c r="E70" s="65"/>
      <c r="F70" s="65"/>
      <c r="G70" s="65"/>
      <c r="H70" s="65"/>
      <c r="I70" s="65"/>
      <c r="J70" s="65"/>
      <c r="K70" s="65"/>
      <c r="L70"/>
      <c r="M70"/>
      <c r="N70"/>
      <c r="O70"/>
      <c r="P70" s="118"/>
      <c r="Q70" s="118"/>
      <c r="R70" s="118"/>
      <c r="S70" s="1"/>
      <c r="T70" s="117"/>
      <c r="U70" s="117"/>
      <c r="V70" s="117"/>
      <c r="W70" s="117"/>
      <c r="X70" s="120"/>
      <c r="AF70" s="4"/>
    </row>
    <row r="71" spans="2:32" s="2" customFormat="1" ht="15">
      <c r="B71" s="365"/>
      <c r="C71" s="111"/>
      <c r="D71" s="140" t="s">
        <v>29</v>
      </c>
      <c r="E71" s="65"/>
      <c r="F71" s="65"/>
      <c r="G71" s="65"/>
      <c r="H71" s="65"/>
      <c r="I71" s="65"/>
      <c r="J71" s="65"/>
      <c r="K71" s="65"/>
      <c r="L71" s="118"/>
      <c r="M71" s="118"/>
      <c r="N71" s="118"/>
      <c r="O71" s="118"/>
      <c r="P71" s="118"/>
      <c r="Q71" s="118"/>
      <c r="R71" s="118"/>
      <c r="S71" s="1"/>
      <c r="T71" s="117"/>
      <c r="U71" s="117"/>
      <c r="V71" s="117"/>
      <c r="W71" s="117"/>
      <c r="X71" s="120"/>
      <c r="AF71" s="4"/>
    </row>
    <row r="72" spans="2:32" s="2" customFormat="1">
      <c r="B72" s="365"/>
      <c r="C72" s="111"/>
      <c r="D72" s="141">
        <f>VLOOKUP(D57,'TABELLE&amp;REG.DEL.UE 2015 24'!N4:T21,4+S65,FALSE)</f>
        <v>0.86</v>
      </c>
      <c r="E72" s="65"/>
      <c r="F72" s="65"/>
      <c r="G72" s="65"/>
      <c r="H72" s="65"/>
      <c r="I72" s="65"/>
      <c r="J72" s="65"/>
      <c r="K72" s="65"/>
      <c r="L72" s="118"/>
      <c r="M72" s="118"/>
      <c r="N72" s="118"/>
      <c r="O72" s="118"/>
      <c r="P72" s="118"/>
      <c r="Q72" s="118"/>
      <c r="R72" s="1"/>
      <c r="S72" s="1"/>
      <c r="T72" s="1"/>
      <c r="U72" s="1"/>
      <c r="V72" s="1"/>
      <c r="W72" s="1"/>
      <c r="X72" s="121"/>
      <c r="Y72"/>
      <c r="Z72"/>
      <c r="AA72"/>
      <c r="AF72" s="4"/>
    </row>
    <row r="73" spans="2:32" s="2" customFormat="1">
      <c r="B73" s="365"/>
      <c r="C73" s="111"/>
      <c r="D73" s="65"/>
      <c r="E73" s="65"/>
      <c r="F73" s="65"/>
      <c r="G73" s="65"/>
      <c r="H73" s="65"/>
      <c r="I73" s="65"/>
      <c r="J73" s="65"/>
      <c r="K73" s="65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21"/>
      <c r="Y73"/>
      <c r="Z73"/>
      <c r="AA73"/>
      <c r="AF73" s="4"/>
    </row>
    <row r="74" spans="2:32" s="2" customFormat="1">
      <c r="B74" s="365"/>
      <c r="C74" s="84"/>
      <c r="D74" s="5"/>
      <c r="E74" s="1"/>
      <c r="F74" s="1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V74" s="1"/>
      <c r="W74" s="1"/>
      <c r="X74" s="121"/>
      <c r="Y74"/>
      <c r="Z74"/>
      <c r="AA74"/>
      <c r="AF74" s="4"/>
    </row>
    <row r="75" spans="2:32" s="2" customFormat="1" ht="15" thickBot="1">
      <c r="B75" s="365"/>
      <c r="C75" s="84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V75" s="1"/>
      <c r="W75" s="1"/>
      <c r="X75" s="121"/>
      <c r="Y75"/>
      <c r="Z75"/>
      <c r="AA75"/>
      <c r="AF75" s="4"/>
    </row>
    <row r="76" spans="2:32" s="2" customFormat="1" ht="15.75" customHeight="1">
      <c r="B76" s="365"/>
      <c r="C76" s="84"/>
      <c r="D76" s="5"/>
      <c r="E76" s="379" t="s">
        <v>112</v>
      </c>
      <c r="F76" s="380"/>
      <c r="G76" s="380"/>
      <c r="H76" s="380"/>
      <c r="I76" s="381"/>
      <c r="J76" s="5"/>
      <c r="K76" s="382" t="s">
        <v>129</v>
      </c>
      <c r="L76" s="382"/>
      <c r="M76" s="5"/>
      <c r="N76" s="382" t="s">
        <v>130</v>
      </c>
      <c r="O76" s="382"/>
      <c r="P76" s="160"/>
      <c r="R76" s="383"/>
      <c r="S76" s="383"/>
      <c r="T76" s="383"/>
      <c r="U76" s="383"/>
      <c r="V76" s="1"/>
      <c r="W76" s="1"/>
      <c r="X76" s="121"/>
      <c r="Y76"/>
      <c r="Z76"/>
      <c r="AA76"/>
      <c r="AF76" s="4"/>
    </row>
    <row r="77" spans="2:32" s="2" customFormat="1" ht="15" thickBot="1">
      <c r="B77" s="365"/>
      <c r="C77" s="84"/>
      <c r="D77" s="5"/>
      <c r="E77" s="101"/>
      <c r="F77" s="5"/>
      <c r="G77" s="5"/>
      <c r="H77" s="5"/>
      <c r="I77" s="102"/>
      <c r="K77" s="67" t="s">
        <v>119</v>
      </c>
      <c r="L77" s="125" t="s">
        <v>120</v>
      </c>
      <c r="M77" s="5"/>
      <c r="N77" s="191" t="s">
        <v>119</v>
      </c>
      <c r="O77" s="192" t="s">
        <v>120</v>
      </c>
      <c r="P77" s="127"/>
      <c r="R77" s="158"/>
      <c r="S77" s="212"/>
      <c r="T77" s="158"/>
      <c r="U77" s="158"/>
      <c r="V77" s="1"/>
      <c r="W77" s="1"/>
      <c r="X77" s="121"/>
      <c r="Y77"/>
      <c r="Z77"/>
      <c r="AA77"/>
      <c r="AF77" s="4"/>
    </row>
    <row r="78" spans="2:32" s="2" customFormat="1">
      <c r="B78" s="365"/>
      <c r="C78" s="84"/>
      <c r="D78" s="5"/>
      <c r="E78" s="396" t="s">
        <v>105</v>
      </c>
      <c r="F78" s="397"/>
      <c r="G78" s="5"/>
      <c r="H78" s="396" t="s">
        <v>104</v>
      </c>
      <c r="I78" s="397"/>
      <c r="K78" s="68">
        <f>L8</f>
        <v>3650</v>
      </c>
      <c r="L78" s="69">
        <f>P8</f>
        <v>0.23799999999999999</v>
      </c>
      <c r="N78" s="167">
        <v>5500</v>
      </c>
      <c r="O78" s="169">
        <f>$L$55/1000</f>
        <v>6.6000000000000003E-2</v>
      </c>
      <c r="P78" s="5"/>
      <c r="R78" s="158"/>
      <c r="S78" s="208"/>
      <c r="T78" s="158"/>
      <c r="U78" s="158"/>
      <c r="V78" s="1"/>
      <c r="W78" s="1"/>
      <c r="X78" s="121"/>
      <c r="Y78"/>
      <c r="Z78"/>
      <c r="AA78"/>
      <c r="AF78" s="4"/>
    </row>
    <row r="79" spans="2:32" s="2" customFormat="1">
      <c r="B79" s="365"/>
      <c r="C79" s="84"/>
      <c r="D79" s="5"/>
      <c r="E79" s="72" t="s">
        <v>94</v>
      </c>
      <c r="F79" s="79">
        <f>L55</f>
        <v>66</v>
      </c>
      <c r="G79" s="5"/>
      <c r="H79" s="81" t="s">
        <v>95</v>
      </c>
      <c r="I79" s="73">
        <f>M55</f>
        <v>789.54480000000001</v>
      </c>
      <c r="K79" s="126">
        <f>ROUND(((L79-L78)+((L80-L78)/(K80-K78))*K78)/((L80-L78)/(K80-K78)),0)</f>
        <v>4222</v>
      </c>
      <c r="L79" s="69">
        <f>M6</f>
        <v>0.123</v>
      </c>
      <c r="N79" s="167">
        <f>K79</f>
        <v>4222</v>
      </c>
      <c r="O79" s="169">
        <f>$L$55/1000</f>
        <v>6.6000000000000003E-2</v>
      </c>
      <c r="P79" s="5"/>
      <c r="R79" s="158"/>
      <c r="S79" s="209"/>
      <c r="T79" s="158"/>
      <c r="U79" s="158"/>
      <c r="V79" s="1"/>
      <c r="W79" s="1"/>
      <c r="X79" s="121"/>
      <c r="Y79"/>
      <c r="Z79"/>
      <c r="AA79"/>
      <c r="AF79" s="4"/>
    </row>
    <row r="80" spans="2:32" s="2" customFormat="1">
      <c r="B80" s="365"/>
      <c r="C80" s="84"/>
      <c r="D80" s="5"/>
      <c r="E80" s="72" t="s">
        <v>96</v>
      </c>
      <c r="F80" s="79">
        <f>L65</f>
        <v>123</v>
      </c>
      <c r="G80" s="5"/>
      <c r="H80" s="81" t="s">
        <v>97</v>
      </c>
      <c r="I80" s="74">
        <f>M65</f>
        <v>1321.2791932500002</v>
      </c>
      <c r="K80" s="157">
        <f>L9</f>
        <v>4380</v>
      </c>
      <c r="L80" s="69">
        <f>P9</f>
        <v>9.1332499999999997E-2</v>
      </c>
      <c r="N80" s="2">
        <f>K83</f>
        <v>3570</v>
      </c>
      <c r="O80" s="169">
        <f>$L$55/1000</f>
        <v>6.6000000000000003E-2</v>
      </c>
      <c r="P80" s="5"/>
      <c r="R80" s="384"/>
      <c r="S80" s="209"/>
      <c r="T80" s="158"/>
      <c r="U80" s="158"/>
      <c r="V80" s="1"/>
      <c r="W80" s="1"/>
      <c r="X80" s="121"/>
      <c r="Y80"/>
      <c r="Z80"/>
      <c r="AA80"/>
      <c r="AF80" s="4"/>
    </row>
    <row r="81" spans="2:32" s="2" customFormat="1">
      <c r="B81" s="365"/>
      <c r="C81" s="84"/>
      <c r="D81" s="5"/>
      <c r="E81" s="75"/>
      <c r="F81" s="79"/>
      <c r="G81" s="5"/>
      <c r="H81" s="82"/>
      <c r="I81" s="74"/>
      <c r="J81" s="6"/>
      <c r="K81"/>
      <c r="L81"/>
      <c r="M81" s="5"/>
      <c r="N81" s="5"/>
      <c r="O81" s="5"/>
      <c r="P81" s="5"/>
      <c r="R81" s="384"/>
      <c r="S81" s="213"/>
      <c r="T81" s="158"/>
      <c r="U81" s="158"/>
      <c r="V81" s="1"/>
      <c r="W81" s="1"/>
      <c r="X81" s="121"/>
      <c r="Y81"/>
      <c r="Z81"/>
      <c r="AA81"/>
      <c r="AF81" s="4"/>
    </row>
    <row r="82" spans="2:32" s="2" customFormat="1" ht="15" thickBot="1">
      <c r="B82" s="365"/>
      <c r="C82" s="84"/>
      <c r="D82" s="5"/>
      <c r="E82" s="76" t="s">
        <v>93</v>
      </c>
      <c r="F82" s="80">
        <f>E56</f>
        <v>233.33333333333331</v>
      </c>
      <c r="G82" s="77"/>
      <c r="H82" s="83" t="s">
        <v>98</v>
      </c>
      <c r="I82" s="78">
        <f>E58</f>
        <v>2791.32</v>
      </c>
      <c r="J82" s="71"/>
      <c r="K82" s="68">
        <f>L7</f>
        <v>2190</v>
      </c>
      <c r="L82" s="69">
        <f>P7</f>
        <v>0.38377499999999998</v>
      </c>
      <c r="M82" s="5"/>
      <c r="N82" s="5"/>
      <c r="O82" s="5"/>
      <c r="P82" s="5"/>
      <c r="R82" s="214"/>
      <c r="S82" s="214"/>
      <c r="T82" s="214"/>
      <c r="U82" s="214"/>
      <c r="V82" s="1"/>
      <c r="W82" s="1"/>
      <c r="X82" s="121"/>
      <c r="Y82"/>
      <c r="Z82"/>
      <c r="AA82"/>
      <c r="AF82" s="4"/>
    </row>
    <row r="83" spans="2:32" s="2" customFormat="1" ht="15" thickBot="1">
      <c r="B83" s="365"/>
      <c r="C83" s="84"/>
      <c r="D83" s="5"/>
      <c r="E83" s="5"/>
      <c r="F83" s="5"/>
      <c r="G83" s="5"/>
      <c r="H83" s="5"/>
      <c r="I83" s="5"/>
      <c r="J83" s="5"/>
      <c r="K83" s="126">
        <f>ROUND(((L83-L82)+((L84-L82)/(K84-K82))*K82)/((L84-L82)/(K84-K82)),0)</f>
        <v>3570</v>
      </c>
      <c r="L83" s="69">
        <f>N6</f>
        <v>0.246</v>
      </c>
      <c r="M83" s="5"/>
      <c r="N83" s="5"/>
      <c r="O83" s="5"/>
      <c r="P83" s="5"/>
      <c r="R83" s="214"/>
      <c r="S83" s="214"/>
      <c r="T83" s="214"/>
      <c r="U83" s="214"/>
      <c r="V83" s="1"/>
      <c r="W83" s="1"/>
      <c r="X83" s="121"/>
      <c r="Y83"/>
      <c r="Z83"/>
      <c r="AA83"/>
      <c r="AF83" s="4"/>
    </row>
    <row r="84" spans="2:32" s="2" customFormat="1" ht="15" thickBot="1">
      <c r="B84" s="365"/>
      <c r="C84" s="84"/>
      <c r="D84" s="5"/>
      <c r="E84" s="361" t="s">
        <v>101</v>
      </c>
      <c r="F84" s="362"/>
      <c r="G84" s="362"/>
      <c r="H84" s="362"/>
      <c r="I84" s="363"/>
      <c r="J84" s="5"/>
      <c r="K84" s="68">
        <f>L8</f>
        <v>3650</v>
      </c>
      <c r="L84" s="69">
        <f>P8</f>
        <v>0.23799999999999999</v>
      </c>
      <c r="M84" s="5"/>
      <c r="N84" s="5"/>
      <c r="O84" s="5"/>
      <c r="P84" s="5"/>
      <c r="R84" s="383"/>
      <c r="S84" s="383"/>
      <c r="T84" s="383"/>
      <c r="U84" s="383"/>
      <c r="V84" s="1"/>
      <c r="W84" s="1"/>
      <c r="X84" s="121"/>
      <c r="Y84"/>
      <c r="Z84"/>
      <c r="AA84"/>
      <c r="AF84" s="4"/>
    </row>
    <row r="85" spans="2:32" s="2" customFormat="1" ht="15.6" thickBot="1">
      <c r="B85" s="365"/>
      <c r="C85" s="84"/>
      <c r="D85" s="5"/>
      <c r="E85" s="92" t="s">
        <v>131</v>
      </c>
      <c r="F85" s="98">
        <f>F79/F82</f>
        <v>0.28285714285714286</v>
      </c>
      <c r="G85" s="5"/>
      <c r="H85" s="5"/>
      <c r="I85" s="86"/>
      <c r="J85" s="5"/>
      <c r="K85" s="158"/>
      <c r="L85" s="159"/>
      <c r="M85" s="5"/>
      <c r="N85" s="5"/>
      <c r="O85" s="5"/>
      <c r="P85" s="5"/>
      <c r="R85" s="158"/>
      <c r="S85" s="158"/>
      <c r="T85" s="158"/>
      <c r="U85" s="158"/>
      <c r="V85" s="1"/>
      <c r="W85" s="1"/>
      <c r="X85" s="121"/>
      <c r="Y85"/>
      <c r="Z85"/>
      <c r="AA85"/>
      <c r="AF85" s="4"/>
    </row>
    <row r="86" spans="2:32" s="2" customFormat="1" ht="15" customHeight="1" thickBot="1">
      <c r="B86" s="365"/>
      <c r="C86" s="84"/>
      <c r="D86" s="5"/>
      <c r="E86" s="85" t="s">
        <v>132</v>
      </c>
      <c r="F86" s="99">
        <f>F80/F82</f>
        <v>0.52714285714285714</v>
      </c>
      <c r="G86" s="5"/>
      <c r="H86" s="387" t="s">
        <v>102</v>
      </c>
      <c r="I86" s="388"/>
      <c r="J86" s="5"/>
      <c r="K86" s="68">
        <v>2190</v>
      </c>
      <c r="L86" s="69">
        <v>0.38377499999999998</v>
      </c>
      <c r="M86" s="5"/>
      <c r="N86" s="5"/>
      <c r="O86" s="5"/>
      <c r="P86" s="5"/>
      <c r="R86" s="158"/>
      <c r="S86" s="215"/>
      <c r="T86" s="158"/>
      <c r="U86" s="158"/>
      <c r="V86" s="1"/>
      <c r="W86" s="1"/>
      <c r="X86" s="121"/>
      <c r="Y86"/>
      <c r="Z86"/>
      <c r="AA86"/>
      <c r="AF86" s="4"/>
    </row>
    <row r="87" spans="2:32" s="2" customFormat="1" ht="15" thickBot="1">
      <c r="B87" s="365"/>
      <c r="C87" s="84"/>
      <c r="D87" s="5"/>
      <c r="E87" s="100" t="s">
        <v>0</v>
      </c>
      <c r="F87" s="161">
        <f>H67</f>
        <v>0.75620996275955454</v>
      </c>
      <c r="G87" s="5"/>
      <c r="H87" s="142" t="s">
        <v>4</v>
      </c>
      <c r="I87" s="145" t="s">
        <v>124</v>
      </c>
      <c r="J87" s="5"/>
      <c r="K87" s="126">
        <f>ROUND(((L87-L86)+((L88-L86)/(K88-K86))*K86)/((L88-L86)/(K88-K86)),0)</f>
        <v>2338</v>
      </c>
      <c r="L87" s="69">
        <f>O6</f>
        <v>0.36899999999999999</v>
      </c>
      <c r="M87" s="5"/>
      <c r="N87" s="5"/>
      <c r="O87" s="5"/>
      <c r="P87" s="5"/>
      <c r="R87" s="158"/>
      <c r="S87" s="210"/>
      <c r="T87" s="158"/>
      <c r="U87" s="158"/>
      <c r="V87" s="1"/>
      <c r="W87" s="1"/>
      <c r="X87" s="121"/>
      <c r="Y87"/>
      <c r="Z87"/>
      <c r="AA87"/>
      <c r="AF87" s="4"/>
    </row>
    <row r="88" spans="2:32" s="2" customFormat="1" ht="15" thickBot="1">
      <c r="B88" s="365"/>
      <c r="C88" s="84"/>
      <c r="D88" s="5"/>
      <c r="E88" s="84"/>
      <c r="F88" s="5"/>
      <c r="G88" s="5"/>
      <c r="H88" s="142" t="s">
        <v>107</v>
      </c>
      <c r="I88" s="146" t="s">
        <v>124</v>
      </c>
      <c r="J88" s="5"/>
      <c r="K88" s="68">
        <v>3650</v>
      </c>
      <c r="L88" s="69">
        <v>0.23799999999999999</v>
      </c>
      <c r="M88" s="5"/>
      <c r="N88" s="5"/>
      <c r="O88" s="5"/>
      <c r="P88" s="5"/>
      <c r="R88" s="158"/>
      <c r="S88" s="216"/>
      <c r="T88" s="158"/>
      <c r="U88" s="158"/>
      <c r="V88" s="1"/>
      <c r="W88" s="1"/>
      <c r="X88" s="121"/>
      <c r="Y88"/>
      <c r="Z88"/>
      <c r="AA88"/>
      <c r="AF88" s="4"/>
    </row>
    <row r="89" spans="2:32" s="2" customFormat="1" ht="15" thickBot="1">
      <c r="B89" s="365"/>
      <c r="C89" s="84"/>
      <c r="D89" s="5"/>
      <c r="E89" s="96" t="s">
        <v>1</v>
      </c>
      <c r="F89" s="97">
        <v>0.75</v>
      </c>
      <c r="G89" s="5"/>
      <c r="H89" s="142" t="s">
        <v>106</v>
      </c>
      <c r="I89" s="146" t="s">
        <v>124</v>
      </c>
      <c r="J89" s="5"/>
      <c r="M89" s="5"/>
      <c r="N89" s="5"/>
      <c r="O89" s="5"/>
      <c r="P89" s="5"/>
      <c r="R89" s="158"/>
      <c r="S89" s="216"/>
      <c r="T89" s="158"/>
      <c r="U89" s="158"/>
      <c r="V89" s="1"/>
      <c r="W89" s="1"/>
      <c r="X89" s="121"/>
      <c r="Y89"/>
      <c r="Z89"/>
      <c r="AA89"/>
      <c r="AF89" s="4"/>
    </row>
    <row r="90" spans="2:32" s="2" customFormat="1" ht="15" thickBot="1">
      <c r="B90" s="365"/>
      <c r="C90" s="84"/>
      <c r="D90" s="5"/>
      <c r="E90" s="84"/>
      <c r="F90" s="5"/>
      <c r="G90" s="5"/>
      <c r="H90" s="143" t="s">
        <v>108</v>
      </c>
      <c r="I90" s="144" t="s">
        <v>124</v>
      </c>
      <c r="J90" s="5"/>
      <c r="M90" s="5"/>
      <c r="N90" s="5"/>
      <c r="O90" s="5"/>
      <c r="P90" s="5"/>
      <c r="R90" s="158"/>
      <c r="S90" s="210"/>
      <c r="T90" s="158"/>
      <c r="U90" s="158"/>
      <c r="V90" s="1"/>
      <c r="W90" s="1"/>
      <c r="X90" s="121"/>
      <c r="Y90"/>
      <c r="Z90"/>
      <c r="AA90"/>
      <c r="AF90" s="4"/>
    </row>
    <row r="91" spans="2:32" s="2" customFormat="1" ht="15" thickBot="1">
      <c r="B91" s="365"/>
      <c r="C91" s="84"/>
      <c r="D91" s="5"/>
      <c r="E91" s="96" t="s">
        <v>92</v>
      </c>
      <c r="F91" s="147" t="b">
        <f>F87&gt;F89</f>
        <v>1</v>
      </c>
      <c r="G91" s="133"/>
      <c r="H91" s="5"/>
      <c r="I91" s="86"/>
      <c r="J91" s="5"/>
      <c r="K91" s="385"/>
      <c r="L91" s="385"/>
      <c r="M91" s="158"/>
      <c r="N91" s="158"/>
      <c r="O91" s="158"/>
      <c r="P91" s="158"/>
      <c r="R91" s="384"/>
      <c r="S91" s="216"/>
      <c r="T91" s="158"/>
      <c r="U91" s="158"/>
      <c r="V91" s="1"/>
      <c r="W91" s="1"/>
      <c r="X91" s="121"/>
      <c r="Y91"/>
      <c r="Z91"/>
      <c r="AA91"/>
      <c r="AF91" s="4"/>
    </row>
    <row r="92" spans="2:32" s="2" customFormat="1" ht="15.75" customHeight="1" thickBot="1">
      <c r="B92" s="365"/>
      <c r="C92" s="84"/>
      <c r="D92" s="5"/>
      <c r="E92" s="84"/>
      <c r="F92" s="5"/>
      <c r="G92" s="5"/>
      <c r="H92" s="387" t="s">
        <v>109</v>
      </c>
      <c r="I92" s="388"/>
      <c r="J92" s="5"/>
      <c r="K92" s="382" t="s">
        <v>118</v>
      </c>
      <c r="L92" s="382"/>
      <c r="M92" s="158"/>
      <c r="O92" s="185" t="s">
        <v>118</v>
      </c>
      <c r="P92" s="176"/>
      <c r="R92" s="384"/>
      <c r="S92" s="185" t="s">
        <v>118</v>
      </c>
      <c r="T92" s="193"/>
      <c r="V92" s="1"/>
      <c r="W92" s="1"/>
      <c r="X92" s="121"/>
      <c r="Y92"/>
      <c r="Z92"/>
      <c r="AA92"/>
      <c r="AF92" s="4"/>
    </row>
    <row r="93" spans="2:32" s="2" customFormat="1" ht="15.6" thickBot="1">
      <c r="B93" s="365"/>
      <c r="C93" s="84"/>
      <c r="D93" s="5"/>
      <c r="E93" s="92" t="s">
        <v>99</v>
      </c>
      <c r="F93" s="93">
        <f>D69</f>
        <v>0.34</v>
      </c>
      <c r="G93" s="5"/>
      <c r="H93" s="84" t="s">
        <v>103</v>
      </c>
      <c r="I93" s="151" t="s">
        <v>124</v>
      </c>
      <c r="J93" s="5"/>
      <c r="K93" s="186">
        <v>4222</v>
      </c>
      <c r="L93" s="170">
        <v>0.123</v>
      </c>
      <c r="M93" s="5"/>
      <c r="O93" s="190">
        <v>3570</v>
      </c>
      <c r="P93" s="321">
        <f>N6-L93</f>
        <v>0.123</v>
      </c>
      <c r="R93" s="158"/>
      <c r="S93" s="190">
        <v>2338</v>
      </c>
      <c r="T93" s="317">
        <f>O6-N6</f>
        <v>0.123</v>
      </c>
      <c r="V93" s="1"/>
      <c r="W93" s="1"/>
      <c r="X93" s="121"/>
      <c r="Y93"/>
      <c r="Z93"/>
      <c r="AA93"/>
      <c r="AF93" s="4"/>
    </row>
    <row r="94" spans="2:32" s="2" customFormat="1" ht="15" thickBot="1">
      <c r="B94" s="365"/>
      <c r="C94" s="84"/>
      <c r="D94" s="5"/>
      <c r="E94" s="94" t="s">
        <v>100</v>
      </c>
      <c r="F94" s="95">
        <f>D72</f>
        <v>0.86</v>
      </c>
      <c r="G94" s="5"/>
      <c r="H94" s="84" t="s">
        <v>110</v>
      </c>
      <c r="I94" s="146" t="s">
        <v>124</v>
      </c>
      <c r="J94" s="5"/>
      <c r="K94" s="167">
        <v>4380</v>
      </c>
      <c r="L94" s="170">
        <v>9.1332499999999997E-2</v>
      </c>
      <c r="M94" s="169">
        <f>(L93+L94)*(K94-K93)/2</f>
        <v>16.932267499999998</v>
      </c>
      <c r="O94" s="167">
        <v>3650</v>
      </c>
      <c r="P94" s="314">
        <f>P8-L93</f>
        <v>0.11499999999999999</v>
      </c>
      <c r="Q94" s="167">
        <f>(P93+P94)*(O94-O93)/2</f>
        <v>9.52</v>
      </c>
      <c r="R94" s="158"/>
      <c r="S94" s="187">
        <v>3570</v>
      </c>
      <c r="T94" s="320">
        <v>0</v>
      </c>
      <c r="U94" s="187">
        <f>(T93+T94)*(S94-S93)/2</f>
        <v>75.768000000000001</v>
      </c>
      <c r="V94" s="1"/>
      <c r="W94" s="1"/>
      <c r="X94" s="121"/>
      <c r="Y94"/>
      <c r="Z94"/>
      <c r="AA94"/>
      <c r="AF94" s="4"/>
    </row>
    <row r="95" spans="2:32" s="2" customFormat="1" ht="15" thickBot="1">
      <c r="B95" s="365"/>
      <c r="C95" s="84"/>
      <c r="D95" s="5"/>
      <c r="E95" s="84"/>
      <c r="F95" s="5"/>
      <c r="G95" s="5"/>
      <c r="H95" s="89" t="s">
        <v>111</v>
      </c>
      <c r="I95" s="144" t="s">
        <v>124</v>
      </c>
      <c r="J95" s="5"/>
      <c r="K95" s="167">
        <v>5840</v>
      </c>
      <c r="L95" s="170">
        <v>5.2062499999999998E-2</v>
      </c>
      <c r="M95" s="169">
        <f>(L94+L95)*(K95-K94)/2</f>
        <v>104.67834999999999</v>
      </c>
      <c r="O95" s="187">
        <v>4222</v>
      </c>
      <c r="P95" s="321">
        <v>0</v>
      </c>
      <c r="Q95" s="187">
        <f>(P94+P95)*(O95-O94)/2</f>
        <v>32.89</v>
      </c>
      <c r="R95" s="158"/>
      <c r="S95" s="5"/>
      <c r="T95" s="318"/>
      <c r="U95" s="5"/>
      <c r="V95" s="1"/>
      <c r="W95" s="1"/>
      <c r="X95" s="121"/>
      <c r="Y95"/>
      <c r="Z95"/>
      <c r="AA95"/>
      <c r="AF95" s="4"/>
    </row>
    <row r="96" spans="2:32" s="2" customFormat="1" ht="15" thickBot="1">
      <c r="B96" s="365"/>
      <c r="C96" s="84"/>
      <c r="D96" s="5"/>
      <c r="E96" s="90" t="s">
        <v>2</v>
      </c>
      <c r="F96" s="91">
        <f>R59</f>
        <v>0.27659055736617122</v>
      </c>
      <c r="G96" s="87"/>
      <c r="H96" s="87"/>
      <c r="I96" s="88"/>
      <c r="J96" s="5"/>
      <c r="K96" s="167">
        <v>5500</v>
      </c>
      <c r="L96" s="170">
        <v>5.1999999999999998E-2</v>
      </c>
      <c r="M96" s="169">
        <f>(L95+L96)*(K96-K95)/2</f>
        <v>-17.690625000000001</v>
      </c>
      <c r="N96" s="5"/>
      <c r="O96" s="5"/>
      <c r="P96" s="5"/>
      <c r="R96" s="158"/>
      <c r="S96" s="5"/>
      <c r="T96" s="5"/>
      <c r="U96" s="5"/>
      <c r="V96" s="1"/>
      <c r="W96" s="1"/>
      <c r="X96" s="121"/>
      <c r="Y96"/>
      <c r="Z96"/>
      <c r="AA96"/>
      <c r="AF96" s="4"/>
    </row>
    <row r="97" spans="2:32" s="2" customFormat="1" ht="15" thickBot="1">
      <c r="B97" s="365"/>
      <c r="C97" s="84"/>
      <c r="D97" s="5"/>
      <c r="E97" s="5"/>
      <c r="F97" s="5"/>
      <c r="G97" s="5"/>
      <c r="H97" s="5"/>
      <c r="I97" s="5"/>
      <c r="J97" s="70"/>
      <c r="K97" s="5"/>
      <c r="L97" s="318"/>
      <c r="M97" s="319"/>
      <c r="N97" s="5"/>
      <c r="O97" s="5"/>
      <c r="P97" s="5"/>
      <c r="Q97" s="5"/>
      <c r="R97" s="217"/>
      <c r="S97" s="5"/>
      <c r="T97" s="5"/>
      <c r="U97" s="5"/>
      <c r="V97" s="1"/>
      <c r="W97" s="1"/>
      <c r="X97" s="121"/>
      <c r="Y97"/>
      <c r="Z97"/>
      <c r="AA97"/>
      <c r="AF97" s="4"/>
    </row>
    <row r="98" spans="2:32" s="2" customFormat="1" ht="15" thickBot="1">
      <c r="B98" s="365"/>
      <c r="C98" s="84"/>
      <c r="D98" s="5"/>
      <c r="E98" s="391" t="s">
        <v>115</v>
      </c>
      <c r="F98" s="392"/>
      <c r="G98" s="392"/>
      <c r="H98" s="392"/>
      <c r="I98" s="393"/>
      <c r="J98" s="5"/>
      <c r="K98" s="5"/>
      <c r="L98" s="5"/>
      <c r="M98" s="188">
        <f>SUM(M94:M96)</f>
        <v>103.91999249999999</v>
      </c>
      <c r="N98" s="5"/>
      <c r="O98" s="5"/>
      <c r="Q98" s="189">
        <f>SUM(Q94:Q95)</f>
        <v>42.41</v>
      </c>
      <c r="R98" s="217"/>
      <c r="S98" s="5"/>
      <c r="T98" s="5"/>
      <c r="U98" s="189">
        <f>SUM(U94:U95)</f>
        <v>75.768000000000001</v>
      </c>
      <c r="V98" s="1"/>
      <c r="W98" s="1"/>
      <c r="X98" s="121"/>
      <c r="Y98"/>
      <c r="Z98"/>
      <c r="AA98"/>
      <c r="AF98" s="4"/>
    </row>
    <row r="99" spans="2:32" s="2" customFormat="1" ht="15" thickBot="1">
      <c r="B99" s="365"/>
      <c r="C99" s="84"/>
      <c r="D99" s="5"/>
      <c r="E99" s="107" t="s">
        <v>3</v>
      </c>
      <c r="F99" s="108">
        <v>0.19</v>
      </c>
      <c r="G99" s="5"/>
      <c r="H99" s="5"/>
      <c r="I99" s="104"/>
      <c r="J99" s="5"/>
      <c r="K99" s="5"/>
      <c r="L99" s="5"/>
      <c r="Q99" s="5"/>
      <c r="R99" s="217"/>
      <c r="S99" s="211"/>
      <c r="T99" s="217"/>
      <c r="U99" s="214"/>
      <c r="V99" s="1"/>
      <c r="W99" s="1"/>
      <c r="X99" s="121"/>
      <c r="Y99"/>
      <c r="Z99"/>
      <c r="AA99"/>
      <c r="AF99" s="4"/>
    </row>
    <row r="100" spans="2:32" s="2" customFormat="1" ht="15" thickBot="1">
      <c r="B100" s="365"/>
      <c r="C100" s="84"/>
      <c r="D100" s="5"/>
      <c r="E100" s="103"/>
      <c r="F100" s="5"/>
      <c r="G100" s="5"/>
      <c r="H100" s="394" t="s">
        <v>116</v>
      </c>
      <c r="I100" s="395"/>
      <c r="J100" s="5"/>
      <c r="K100" s="5"/>
      <c r="L100" s="5"/>
      <c r="M100" s="5"/>
      <c r="N100" s="5"/>
      <c r="O100" s="5"/>
      <c r="P100" s="5"/>
      <c r="Q100" s="5"/>
      <c r="R100" s="214"/>
      <c r="S100" s="214"/>
      <c r="T100" s="214"/>
      <c r="U100" s="214"/>
      <c r="V100" s="1"/>
      <c r="W100" s="1"/>
      <c r="X100" s="121"/>
      <c r="Y100"/>
      <c r="Z100"/>
      <c r="AA100"/>
      <c r="AF100" s="4"/>
    </row>
    <row r="101" spans="2:32" s="2" customFormat="1" ht="15" thickBot="1">
      <c r="B101" s="365"/>
      <c r="C101" s="122"/>
      <c r="D101" s="5"/>
      <c r="E101" s="389" t="s">
        <v>127</v>
      </c>
      <c r="F101" s="390"/>
      <c r="G101" s="390"/>
      <c r="H101" s="109" t="s">
        <v>128</v>
      </c>
      <c r="I101" s="128">
        <f>M65</f>
        <v>1321.2791932500002</v>
      </c>
      <c r="J101" s="5"/>
      <c r="K101" s="5"/>
      <c r="L101" s="5"/>
      <c r="M101" s="5"/>
      <c r="N101" s="5"/>
      <c r="O101" s="5"/>
      <c r="P101" s="5"/>
      <c r="Q101" s="5"/>
      <c r="R101" s="158"/>
      <c r="S101" s="158"/>
      <c r="T101" s="158"/>
      <c r="U101" s="158"/>
      <c r="V101" s="1"/>
      <c r="W101" s="1"/>
      <c r="X101" s="121"/>
      <c r="Y101"/>
      <c r="Z101"/>
      <c r="AA101"/>
      <c r="AF101" s="4"/>
    </row>
    <row r="102" spans="2:32" s="2" customFormat="1" ht="15" thickBot="1">
      <c r="B102" s="365"/>
      <c r="C102" s="84"/>
      <c r="D102" s="5"/>
      <c r="E102" s="105" t="s">
        <v>122</v>
      </c>
      <c r="F102" s="106"/>
      <c r="G102" s="106"/>
      <c r="H102" s="110" t="s">
        <v>123</v>
      </c>
      <c r="I102" s="155">
        <f>I101/J11*100</f>
        <v>78.144471223017575</v>
      </c>
      <c r="J102" s="5"/>
      <c r="K102" s="5"/>
      <c r="L102" s="5"/>
      <c r="M102" s="5"/>
      <c r="N102" s="5"/>
      <c r="O102" s="5"/>
      <c r="P102" s="5"/>
      <c r="Q102" s="5"/>
      <c r="V102" s="1"/>
      <c r="W102" s="1"/>
      <c r="X102" s="121"/>
      <c r="Y102"/>
      <c r="Z102"/>
      <c r="AA102"/>
      <c r="AF102" s="4"/>
    </row>
    <row r="103" spans="2:32" s="2" customFormat="1">
      <c r="B103" s="365"/>
      <c r="C103" s="84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1"/>
      <c r="S103" s="1"/>
      <c r="T103" s="1"/>
      <c r="U103" s="1"/>
      <c r="V103" s="1"/>
      <c r="W103" s="1"/>
      <c r="X103" s="121"/>
      <c r="Y103"/>
      <c r="Z103"/>
      <c r="AA103"/>
      <c r="AF103" s="4"/>
    </row>
    <row r="104" spans="2:32" s="2" customFormat="1" ht="15" thickBot="1">
      <c r="B104" s="366"/>
      <c r="C104" s="94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123"/>
      <c r="S104" s="123"/>
      <c r="T104" s="123"/>
      <c r="U104" s="123"/>
      <c r="V104" s="123"/>
      <c r="W104" s="123"/>
      <c r="X104" s="124"/>
      <c r="Y104"/>
      <c r="Z104"/>
      <c r="AA104"/>
      <c r="AF104" s="4"/>
    </row>
    <row r="105" spans="2:32" s="2" customFormat="1">
      <c r="R105"/>
      <c r="S105"/>
      <c r="T105"/>
      <c r="U105"/>
      <c r="V105"/>
      <c r="W105"/>
      <c r="X105"/>
      <c r="Y105"/>
      <c r="Z105"/>
      <c r="AA105"/>
      <c r="AF105" s="4"/>
    </row>
    <row r="106" spans="2:32" s="2" customFormat="1">
      <c r="R106"/>
      <c r="S106"/>
      <c r="T106"/>
      <c r="U106"/>
      <c r="V106"/>
      <c r="W106"/>
      <c r="X106"/>
      <c r="Y106"/>
      <c r="Z106"/>
      <c r="AA106"/>
      <c r="AF106" s="4"/>
    </row>
    <row r="107" spans="2:32" s="2" customFormat="1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F107" s="4"/>
    </row>
    <row r="108" spans="2:32" ht="15.6">
      <c r="C108" s="359" t="s">
        <v>5</v>
      </c>
      <c r="D108" s="359"/>
      <c r="E108" s="359"/>
      <c r="F108" s="359"/>
    </row>
    <row r="109" spans="2:32" ht="27.6">
      <c r="C109" s="166" t="s">
        <v>9</v>
      </c>
      <c r="D109" s="166" t="s">
        <v>8</v>
      </c>
      <c r="E109" s="166" t="s">
        <v>7</v>
      </c>
      <c r="F109" s="166" t="s">
        <v>6</v>
      </c>
      <c r="G109" s="158"/>
    </row>
    <row r="110" spans="2:32">
      <c r="C110" s="164">
        <v>0</v>
      </c>
      <c r="D110" s="309">
        <v>13.5</v>
      </c>
      <c r="E110" s="310">
        <f t="shared" ref="E110:E115" si="3">F110*D110/1000000</f>
        <v>0.33750000000000002</v>
      </c>
      <c r="F110" s="311">
        <v>25000</v>
      </c>
      <c r="G110" s="322"/>
    </row>
    <row r="111" spans="2:32">
      <c r="C111" s="165">
        <v>2190</v>
      </c>
      <c r="D111" s="309">
        <v>12.9</v>
      </c>
      <c r="E111" s="310">
        <f t="shared" si="3"/>
        <v>0.32250000000000001</v>
      </c>
      <c r="F111" s="311">
        <v>25000</v>
      </c>
      <c r="G111" s="322"/>
    </row>
    <row r="112" spans="2:32">
      <c r="C112" s="165">
        <v>3650</v>
      </c>
      <c r="D112" s="309">
        <v>8</v>
      </c>
      <c r="E112" s="310">
        <f t="shared" si="3"/>
        <v>0.2</v>
      </c>
      <c r="F112" s="311">
        <v>25000</v>
      </c>
      <c r="G112" s="322"/>
    </row>
    <row r="113" spans="3:7">
      <c r="C113" s="165">
        <v>4380</v>
      </c>
      <c r="D113" s="309">
        <v>3.07</v>
      </c>
      <c r="E113" s="310">
        <f t="shared" si="3"/>
        <v>7.6749999999999999E-2</v>
      </c>
      <c r="F113" s="311">
        <v>25000</v>
      </c>
      <c r="G113" s="322"/>
    </row>
    <row r="114" spans="3:7">
      <c r="C114" s="165">
        <v>5840</v>
      </c>
      <c r="D114" s="309">
        <v>1.75</v>
      </c>
      <c r="E114" s="310">
        <f t="shared" si="3"/>
        <v>4.3749999999999997E-2</v>
      </c>
      <c r="F114" s="311">
        <v>25000</v>
      </c>
      <c r="G114" s="322"/>
    </row>
    <row r="115" spans="3:7">
      <c r="C115" s="165">
        <v>8760</v>
      </c>
      <c r="D115" s="309">
        <v>1.75</v>
      </c>
      <c r="E115" s="310">
        <f t="shared" si="3"/>
        <v>4.3749999999999997E-2</v>
      </c>
      <c r="F115" s="311">
        <v>25000</v>
      </c>
      <c r="G115" s="322"/>
    </row>
    <row r="116" spans="3:7">
      <c r="C116" s="158"/>
      <c r="D116" s="323"/>
      <c r="E116" s="323"/>
      <c r="F116" s="323"/>
      <c r="G116" s="322"/>
    </row>
    <row r="117" spans="3:7">
      <c r="C117" s="158"/>
      <c r="D117" s="323"/>
      <c r="E117" s="323"/>
      <c r="F117" s="323"/>
      <c r="G117" s="322"/>
    </row>
    <row r="118" spans="3:7">
      <c r="C118" s="386" t="s">
        <v>113</v>
      </c>
      <c r="D118" s="386"/>
      <c r="E118" s="338"/>
      <c r="F118" s="156"/>
      <c r="G118" s="156"/>
    </row>
    <row r="119" spans="3:7" ht="27.6">
      <c r="C119" s="168" t="s">
        <v>9</v>
      </c>
      <c r="D119" s="166" t="s">
        <v>245</v>
      </c>
      <c r="E119" s="166"/>
      <c r="F119" s="166" t="s">
        <v>245</v>
      </c>
      <c r="G119" s="169" t="s">
        <v>241</v>
      </c>
    </row>
    <row r="120" spans="3:7">
      <c r="C120" s="167">
        <v>0</v>
      </c>
      <c r="D120" s="340">
        <v>402</v>
      </c>
      <c r="E120" s="340">
        <v>123</v>
      </c>
      <c r="F120" s="340">
        <v>246</v>
      </c>
      <c r="G120" s="340">
        <v>369</v>
      </c>
    </row>
    <row r="121" spans="3:7">
      <c r="C121" s="167">
        <v>2190</v>
      </c>
      <c r="D121" s="340">
        <v>384</v>
      </c>
      <c r="E121" s="340">
        <v>123</v>
      </c>
      <c r="F121" s="340">
        <v>246</v>
      </c>
      <c r="G121" s="340">
        <v>369</v>
      </c>
    </row>
    <row r="122" spans="3:7">
      <c r="C122" s="167">
        <v>2338</v>
      </c>
      <c r="D122" s="340">
        <v>369</v>
      </c>
      <c r="E122" s="340">
        <v>123</v>
      </c>
      <c r="F122" s="340">
        <v>246</v>
      </c>
      <c r="G122" s="340">
        <f>D122</f>
        <v>369</v>
      </c>
    </row>
    <row r="123" spans="3:7">
      <c r="C123" s="339">
        <v>3570</v>
      </c>
      <c r="D123" s="341">
        <v>246</v>
      </c>
      <c r="E123" s="340">
        <v>123</v>
      </c>
      <c r="F123" s="340">
        <v>246</v>
      </c>
      <c r="G123" s="340">
        <f>D123</f>
        <v>246</v>
      </c>
    </row>
    <row r="124" spans="3:7">
      <c r="C124" s="167">
        <v>3650</v>
      </c>
      <c r="D124" s="340">
        <v>238</v>
      </c>
      <c r="E124" s="340">
        <v>123</v>
      </c>
      <c r="F124" s="340">
        <f>D124</f>
        <v>238</v>
      </c>
      <c r="G124" s="340"/>
    </row>
    <row r="125" spans="3:7">
      <c r="C125" s="167">
        <v>4222</v>
      </c>
      <c r="D125" s="340">
        <v>123</v>
      </c>
      <c r="E125" s="340">
        <v>123</v>
      </c>
      <c r="F125" s="340">
        <f>D125</f>
        <v>123</v>
      </c>
      <c r="G125" s="340"/>
    </row>
    <row r="126" spans="3:7">
      <c r="C126" s="167">
        <v>4380</v>
      </c>
      <c r="D126" s="340">
        <v>91</v>
      </c>
      <c r="E126" s="340">
        <f>D126</f>
        <v>91</v>
      </c>
      <c r="F126" s="340"/>
      <c r="G126" s="340"/>
    </row>
    <row r="127" spans="3:7">
      <c r="C127" s="164">
        <v>5500</v>
      </c>
      <c r="D127" s="340">
        <v>62</v>
      </c>
      <c r="E127" s="340">
        <v>62</v>
      </c>
      <c r="F127" s="340"/>
      <c r="G127" s="340"/>
    </row>
    <row r="128" spans="3:7">
      <c r="C128" s="164">
        <v>5500</v>
      </c>
      <c r="D128" s="340">
        <v>62</v>
      </c>
      <c r="E128" s="340">
        <v>0</v>
      </c>
      <c r="F128" s="340"/>
      <c r="G128" s="340"/>
    </row>
    <row r="129" spans="3:12">
      <c r="C129" s="167">
        <v>5840</v>
      </c>
      <c r="D129" s="340">
        <v>52</v>
      </c>
      <c r="E129" s="340"/>
      <c r="F129" s="340"/>
      <c r="G129" s="340"/>
    </row>
    <row r="130" spans="3:12">
      <c r="C130" s="167">
        <v>8760</v>
      </c>
      <c r="D130" s="340">
        <v>52</v>
      </c>
      <c r="E130" s="340"/>
      <c r="F130" s="340"/>
      <c r="G130" s="340"/>
    </row>
    <row r="139" spans="3:12">
      <c r="C139" s="194" t="s">
        <v>133</v>
      </c>
      <c r="D139" s="194" t="s">
        <v>134</v>
      </c>
      <c r="F139" s="164" t="s">
        <v>135</v>
      </c>
      <c r="G139" s="164">
        <v>1.4999999999999999E-2</v>
      </c>
      <c r="I139" s="164"/>
      <c r="J139" s="164"/>
      <c r="K139" s="164" t="s">
        <v>136</v>
      </c>
      <c r="L139" s="164" t="s">
        <v>137</v>
      </c>
    </row>
    <row r="140" spans="3:12">
      <c r="C140" s="165" t="s">
        <v>138</v>
      </c>
      <c r="D140" s="165">
        <f>N14</f>
        <v>66</v>
      </c>
      <c r="F140" s="164" t="s">
        <v>139</v>
      </c>
      <c r="G140" s="164">
        <v>2000</v>
      </c>
      <c r="I140" s="164"/>
      <c r="J140" s="164"/>
      <c r="K140" s="202"/>
      <c r="L140" s="202"/>
    </row>
    <row r="141" spans="3:12">
      <c r="C141" s="165" t="s">
        <v>140</v>
      </c>
      <c r="D141" s="165">
        <f>M14</f>
        <v>123</v>
      </c>
      <c r="F141" s="164" t="s">
        <v>141</v>
      </c>
      <c r="G141" s="164">
        <v>1000</v>
      </c>
      <c r="I141" s="164"/>
      <c r="J141" s="164"/>
      <c r="K141" s="202"/>
      <c r="L141" s="202"/>
    </row>
    <row r="142" spans="3:12">
      <c r="C142" s="165" t="s">
        <v>142</v>
      </c>
      <c r="D142" s="200">
        <f>P57</f>
        <v>0.28285714285714286</v>
      </c>
      <c r="F142" s="164"/>
      <c r="G142" s="164"/>
      <c r="I142" s="164"/>
      <c r="J142" s="164"/>
      <c r="K142" s="202"/>
      <c r="L142" s="202"/>
    </row>
    <row r="143" spans="3:12">
      <c r="C143" s="165" t="s">
        <v>143</v>
      </c>
      <c r="D143" s="200">
        <f>P61</f>
        <v>0.47335281990241179</v>
      </c>
      <c r="F143" s="164"/>
      <c r="G143" s="164"/>
      <c r="I143" s="164" t="s">
        <v>125</v>
      </c>
      <c r="J143" s="164"/>
      <c r="K143" s="324">
        <f>M65</f>
        <v>1321.2791932500002</v>
      </c>
      <c r="L143" s="324">
        <f>M55</f>
        <v>789.54480000000001</v>
      </c>
    </row>
    <row r="144" spans="3:12">
      <c r="C144" s="165" t="s">
        <v>144</v>
      </c>
      <c r="D144" s="200">
        <f>H67</f>
        <v>0.75620996275955454</v>
      </c>
      <c r="F144" s="164"/>
      <c r="G144" s="164"/>
    </row>
    <row r="145" spans="3:7">
      <c r="C145" s="165" t="s">
        <v>145</v>
      </c>
      <c r="D145" s="201">
        <f>E56</f>
        <v>233.33333333333331</v>
      </c>
      <c r="F145" s="164"/>
      <c r="G145" s="164"/>
    </row>
    <row r="146" spans="3:7">
      <c r="C146" s="165" t="s">
        <v>146</v>
      </c>
      <c r="D146" s="195">
        <v>4.3600000000000003</v>
      </c>
      <c r="F146" s="164" t="s">
        <v>242</v>
      </c>
      <c r="G146" s="196">
        <v>15000</v>
      </c>
    </row>
    <row r="149" spans="3:7">
      <c r="C149" s="197" t="s">
        <v>147</v>
      </c>
      <c r="D149" s="203">
        <f>D142</f>
        <v>0.28285714285714286</v>
      </c>
    </row>
    <row r="150" spans="3:7">
      <c r="C150" s="197"/>
      <c r="D150" s="197"/>
    </row>
    <row r="151" spans="3:7">
      <c r="C151" s="197" t="s">
        <v>148</v>
      </c>
      <c r="D151" s="203">
        <f>D143</f>
        <v>0.47335281990241179</v>
      </c>
    </row>
    <row r="152" spans="3:7">
      <c r="C152" s="197"/>
      <c r="D152" s="197"/>
    </row>
    <row r="153" spans="3:7">
      <c r="C153" s="197" t="s">
        <v>149</v>
      </c>
      <c r="D153" s="203">
        <f>D144</f>
        <v>0.75620996275955454</v>
      </c>
      <c r="F153" s="198" t="s">
        <v>121</v>
      </c>
    </row>
    <row r="154" spans="3:7">
      <c r="C154" s="197"/>
      <c r="D154" s="197"/>
    </row>
    <row r="155" spans="3:7">
      <c r="C155" s="197" t="s">
        <v>150</v>
      </c>
      <c r="D155" s="197">
        <f>K143/L143</f>
        <v>1.673469565311557</v>
      </c>
    </row>
    <row r="156" spans="3:7">
      <c r="C156" s="197"/>
      <c r="D156" s="197"/>
    </row>
    <row r="157" spans="3:7">
      <c r="C157" s="197" t="s">
        <v>151</v>
      </c>
      <c r="D157" s="197">
        <f>L143/K143</f>
        <v>0.59756091220806029</v>
      </c>
    </row>
    <row r="158" spans="3:7">
      <c r="C158" s="197"/>
      <c r="D158" s="197"/>
    </row>
    <row r="159" spans="3:7">
      <c r="C159" s="197" t="s">
        <v>152</v>
      </c>
      <c r="D159" s="204">
        <f>E58/L143</f>
        <v>3.5353535353535355</v>
      </c>
    </row>
    <row r="162" spans="3:6">
      <c r="C162" t="s">
        <v>153</v>
      </c>
    </row>
    <row r="164" spans="3:6">
      <c r="C164" s="164" t="s">
        <v>154</v>
      </c>
      <c r="D164" s="205">
        <f>D69</f>
        <v>0.34</v>
      </c>
    </row>
    <row r="165" spans="3:6">
      <c r="C165" s="164" t="s">
        <v>155</v>
      </c>
      <c r="D165" s="205">
        <f>D72</f>
        <v>0.86</v>
      </c>
    </row>
    <row r="167" spans="3:6">
      <c r="C167" s="164" t="s">
        <v>2</v>
      </c>
      <c r="D167" s="164">
        <f>(1-(1/(D149/D164+D151/D165)))*100</f>
        <v>27.659055736617123</v>
      </c>
      <c r="F167" s="198" t="s">
        <v>121</v>
      </c>
    </row>
    <row r="169" spans="3:6">
      <c r="C169" s="164"/>
      <c r="D169" s="162"/>
      <c r="E169" s="1"/>
      <c r="F169" s="1"/>
    </row>
    <row r="170" spans="3:6">
      <c r="C170" s="164" t="s">
        <v>156</v>
      </c>
      <c r="D170" s="325">
        <f>D145/D146/1000*3</f>
        <v>0.16055045871559628</v>
      </c>
      <c r="E170" s="1"/>
      <c r="F170" s="1"/>
    </row>
    <row r="172" spans="3:6">
      <c r="C172" s="164" t="s">
        <v>173</v>
      </c>
      <c r="D172" s="207">
        <f>E58/D146</f>
        <v>640.21100917431193</v>
      </c>
      <c r="E172" s="1"/>
      <c r="F172" s="206"/>
    </row>
    <row r="180" spans="3:4">
      <c r="C180" s="163" t="s">
        <v>157</v>
      </c>
    </row>
    <row r="182" spans="3:4">
      <c r="C182" s="164" t="s">
        <v>158</v>
      </c>
      <c r="D182" s="164">
        <v>175</v>
      </c>
    </row>
    <row r="184" spans="3:4">
      <c r="C184" s="164" t="s">
        <v>159</v>
      </c>
      <c r="D184" s="326">
        <f>D170*D182</f>
        <v>28.096330275229349</v>
      </c>
    </row>
    <row r="186" spans="3:4">
      <c r="C186" s="164" t="s">
        <v>160</v>
      </c>
      <c r="D186" s="164">
        <f>G139*D140*3</f>
        <v>2.9699999999999998</v>
      </c>
    </row>
    <row r="187" spans="3:4">
      <c r="C187" s="164"/>
      <c r="D187" s="164"/>
    </row>
    <row r="188" spans="3:4">
      <c r="C188" s="164" t="s">
        <v>161</v>
      </c>
      <c r="D188" s="164">
        <f>G140/(8760*D53)</f>
        <v>0.25367833587011668</v>
      </c>
    </row>
    <row r="189" spans="3:4">
      <c r="C189" s="164"/>
      <c r="D189" s="164"/>
    </row>
    <row r="190" spans="3:4">
      <c r="C190" s="164" t="s">
        <v>162</v>
      </c>
      <c r="D190" s="164">
        <f>G141/(8760*D53)</f>
        <v>0.12683916793505834</v>
      </c>
    </row>
    <row r="192" spans="3:4">
      <c r="C192" s="164" t="s">
        <v>163</v>
      </c>
      <c r="D192" s="164">
        <f>D184+D186+D188+D190</f>
        <v>31.446847779034524</v>
      </c>
    </row>
    <row r="195" spans="3:4">
      <c r="C195" s="164" t="s">
        <v>164</v>
      </c>
      <c r="D195" s="197">
        <f>D192/(D140*3)</f>
        <v>0.15882246353047738</v>
      </c>
    </row>
    <row r="198" spans="3:4">
      <c r="C198" s="199" t="s">
        <v>165</v>
      </c>
      <c r="D198" s="199"/>
    </row>
    <row r="199" spans="3:4">
      <c r="C199" s="164" t="s">
        <v>233</v>
      </c>
      <c r="D199" s="164">
        <f>L143</f>
        <v>789.54480000000001</v>
      </c>
    </row>
    <row r="200" spans="3:4">
      <c r="C200" s="164" t="s">
        <v>232</v>
      </c>
      <c r="D200" s="164">
        <f>K143</f>
        <v>1321.2791932500002</v>
      </c>
    </row>
    <row r="201" spans="3:4">
      <c r="C201" s="164" t="s">
        <v>166</v>
      </c>
      <c r="D201" s="308">
        <f>E58</f>
        <v>2791.32</v>
      </c>
    </row>
    <row r="202" spans="3:4">
      <c r="C202" s="164" t="s">
        <v>167</v>
      </c>
      <c r="D202" s="164">
        <f>D199/D164 + D200/D165 -D201</f>
        <v>1067.2417431771541</v>
      </c>
    </row>
    <row r="203" spans="3:4">
      <c r="C203" s="214"/>
      <c r="D203" s="214"/>
    </row>
    <row r="206" spans="3:4">
      <c r="C206" s="164" t="s">
        <v>168</v>
      </c>
      <c r="D206" s="164">
        <v>8.5999999999999993E-2</v>
      </c>
    </row>
    <row r="207" spans="3:4">
      <c r="C207" s="164"/>
      <c r="D207" s="164"/>
    </row>
    <row r="208" spans="3:4">
      <c r="C208" s="164" t="s">
        <v>169</v>
      </c>
      <c r="D208" s="177">
        <v>1.4</v>
      </c>
    </row>
    <row r="209" spans="3:6">
      <c r="C209" s="164"/>
      <c r="D209" s="164"/>
    </row>
    <row r="210" spans="3:6">
      <c r="C210" s="164" t="s">
        <v>170</v>
      </c>
      <c r="D210" s="164">
        <f>D202*D206*D208</f>
        <v>128.49590587852933</v>
      </c>
    </row>
    <row r="211" spans="3:6">
      <c r="C211" s="164" t="s">
        <v>171</v>
      </c>
      <c r="D211" s="164">
        <v>259.60000000000002</v>
      </c>
    </row>
    <row r="212" spans="3:6">
      <c r="C212" s="164" t="s">
        <v>172</v>
      </c>
      <c r="D212" s="197">
        <f>D210*D211</f>
        <v>33357.537166066213</v>
      </c>
    </row>
    <row r="214" spans="3:6">
      <c r="F214" s="163"/>
    </row>
    <row r="231" spans="4:4">
      <c r="D231" s="163"/>
    </row>
    <row r="232" spans="4:4">
      <c r="D232" s="163"/>
    </row>
  </sheetData>
  <mergeCells count="32">
    <mergeCell ref="R80:R81"/>
    <mergeCell ref="K91:L91"/>
    <mergeCell ref="L4:M4"/>
    <mergeCell ref="H86:I86"/>
    <mergeCell ref="C118:D118"/>
    <mergeCell ref="R84:U84"/>
    <mergeCell ref="R91:R92"/>
    <mergeCell ref="H92:I92"/>
    <mergeCell ref="K92:L92"/>
    <mergeCell ref="C108:F108"/>
    <mergeCell ref="N76:O76"/>
    <mergeCell ref="E101:G101"/>
    <mergeCell ref="E98:I98"/>
    <mergeCell ref="H100:I100"/>
    <mergeCell ref="E78:F78"/>
    <mergeCell ref="H78:I78"/>
    <mergeCell ref="C2:H2"/>
    <mergeCell ref="C4:F4"/>
    <mergeCell ref="H4:J4"/>
    <mergeCell ref="E84:I84"/>
    <mergeCell ref="B47:B104"/>
    <mergeCell ref="C47:X49"/>
    <mergeCell ref="G51:J51"/>
    <mergeCell ref="G52:J52"/>
    <mergeCell ref="G53:J53"/>
    <mergeCell ref="D57:D62"/>
    <mergeCell ref="D64:D66"/>
    <mergeCell ref="P64:R64"/>
    <mergeCell ref="P65:R65"/>
    <mergeCell ref="E76:I76"/>
    <mergeCell ref="K76:L76"/>
    <mergeCell ref="R76:U76"/>
  </mergeCells>
  <conditionalFormatting sqref="F96">
    <cfRule type="cellIs" dxfId="2" priority="7" operator="lessThan">
      <formula>0.1</formula>
    </cfRule>
  </conditionalFormatting>
  <conditionalFormatting sqref="H67">
    <cfRule type="expression" dxfId="1" priority="2">
      <formula>$H$67&lt;$J$67</formula>
    </cfRule>
  </conditionalFormatting>
  <conditionalFormatting sqref="F91">
    <cfRule type="containsText" dxfId="0" priority="1" operator="containsText" text="FALSO">
      <formula>NOT(ISERROR(SEARCH("FALSO",F91)))</formula>
    </cfRule>
  </conditionalFormatting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8AC4E047-281E-453F-96DC-22F7824BE9B1}">
          <x14:formula1>
            <xm:f>'TABELLE&amp;REG.DEL.UE 2015 24'!$G$4:$G$21</xm:f>
          </x14:formula1>
          <xm:sqref>D57:D62</xm:sqref>
        </x14:dataValidation>
        <x14:dataValidation type="list" allowBlank="1" showInputMessage="1" showErrorMessage="1" xr:uid="{1DBF1921-63A8-40B9-9FDF-A060B5AB1A2C}">
          <x14:formula1>
            <xm:f>'TABELLE&amp;REG.DEL.UE 2015 24'!$B$3:$B$14</xm:f>
          </x14:formula1>
          <xm:sqref>G52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797D3-A900-4F41-832F-B251A5F44889}">
  <dimension ref="A1:AF114"/>
  <sheetViews>
    <sheetView topLeftCell="A71" zoomScale="70" zoomScaleNormal="70" workbookViewId="0">
      <selection activeCell="A118" sqref="A118"/>
    </sheetView>
  </sheetViews>
  <sheetFormatPr defaultRowHeight="14.4"/>
  <cols>
    <col min="1" max="1" width="39.77734375" customWidth="1"/>
    <col min="2" max="34" width="20.77734375" customWidth="1"/>
  </cols>
  <sheetData>
    <row r="1" spans="1:32">
      <c r="A1" s="222"/>
      <c r="B1" s="218"/>
      <c r="C1" s="218"/>
      <c r="D1" s="218"/>
      <c r="E1" s="218"/>
      <c r="F1" s="220"/>
      <c r="G1" s="221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  <c r="S1" s="219"/>
      <c r="T1" s="219"/>
      <c r="U1" s="218"/>
      <c r="V1" s="218"/>
      <c r="W1" s="218"/>
      <c r="X1" s="218"/>
      <c r="Y1" s="218"/>
      <c r="Z1" s="218"/>
      <c r="AA1" s="218"/>
      <c r="AB1" s="218"/>
      <c r="AC1" s="218"/>
      <c r="AD1" s="218"/>
      <c r="AE1" s="218"/>
      <c r="AF1" s="218"/>
    </row>
    <row r="2" spans="1:32" ht="15.6">
      <c r="A2" s="223" t="s">
        <v>226</v>
      </c>
      <c r="B2" s="224">
        <f>Calcolo!L55*3</f>
        <v>198</v>
      </c>
      <c r="C2" s="225" t="s">
        <v>227</v>
      </c>
      <c r="D2" s="226"/>
      <c r="E2" s="226"/>
      <c r="F2" s="227"/>
      <c r="G2" s="226"/>
      <c r="H2" s="226"/>
      <c r="I2" s="226"/>
      <c r="J2" s="226"/>
      <c r="K2" s="219"/>
      <c r="L2" s="219"/>
      <c r="M2" s="219"/>
      <c r="N2" s="219"/>
      <c r="O2" s="219"/>
      <c r="P2" s="219"/>
      <c r="Q2" s="219"/>
      <c r="R2" s="219"/>
      <c r="S2" s="226"/>
      <c r="T2" s="226"/>
      <c r="U2" s="226"/>
      <c r="V2" s="226"/>
      <c r="W2" s="226"/>
      <c r="X2" s="226"/>
      <c r="Y2" s="226"/>
      <c r="Z2" s="226"/>
      <c r="AA2" s="226"/>
      <c r="AB2" s="226"/>
      <c r="AC2" s="226"/>
      <c r="AD2" s="226"/>
      <c r="AE2" s="226"/>
      <c r="AF2" s="226"/>
    </row>
    <row r="3" spans="1:32" ht="15.6">
      <c r="A3" s="223" t="s">
        <v>225</v>
      </c>
      <c r="B3" s="229">
        <f>Calcolo!L65*3</f>
        <v>369</v>
      </c>
      <c r="C3" s="225" t="s">
        <v>227</v>
      </c>
      <c r="D3" s="218"/>
      <c r="E3" s="218"/>
      <c r="F3" s="218"/>
      <c r="G3" s="225" t="s">
        <v>174</v>
      </c>
      <c r="H3" s="229">
        <f>PMT(B13,B15/12,B8*(1-B9))</f>
        <v>-76728.133248956859</v>
      </c>
      <c r="I3" s="230" t="s">
        <v>175</v>
      </c>
      <c r="J3" s="218"/>
      <c r="K3" s="219"/>
      <c r="L3" s="219"/>
      <c r="M3" s="219"/>
      <c r="N3" s="219"/>
      <c r="O3" s="219"/>
      <c r="P3" s="219"/>
      <c r="Q3" s="219"/>
      <c r="R3" s="219"/>
      <c r="S3" s="218"/>
      <c r="T3" s="218"/>
      <c r="U3" s="218"/>
      <c r="V3" s="218"/>
      <c r="W3" s="218"/>
      <c r="X3" s="218"/>
      <c r="Y3" s="218"/>
      <c r="Z3" s="218"/>
      <c r="AA3" s="218"/>
      <c r="AB3" s="218"/>
      <c r="AC3" s="218"/>
      <c r="AD3" s="218"/>
      <c r="AE3" s="218"/>
      <c r="AF3" s="218"/>
    </row>
    <row r="4" spans="1:32">
      <c r="A4" s="228"/>
      <c r="B4" s="231"/>
      <c r="C4" s="225"/>
      <c r="D4" s="218"/>
      <c r="E4" s="218"/>
      <c r="F4" s="218"/>
      <c r="G4" s="225" t="s">
        <v>176</v>
      </c>
      <c r="H4" s="232">
        <v>0</v>
      </c>
      <c r="I4" s="230"/>
      <c r="J4" s="218"/>
      <c r="K4" s="219"/>
      <c r="L4" s="219"/>
      <c r="M4" s="219"/>
      <c r="N4" s="219"/>
      <c r="O4" s="219"/>
      <c r="P4" s="219"/>
      <c r="Q4" s="219"/>
      <c r="R4" s="219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</row>
    <row r="5" spans="1:32">
      <c r="A5" s="225" t="s">
        <v>177</v>
      </c>
      <c r="B5" s="233">
        <v>0</v>
      </c>
      <c r="C5" s="225"/>
      <c r="D5" s="218"/>
      <c r="E5" s="218"/>
      <c r="F5" s="218"/>
      <c r="G5" s="225" t="s">
        <v>178</v>
      </c>
      <c r="H5" s="232">
        <v>0</v>
      </c>
      <c r="I5" s="230" t="s">
        <v>179</v>
      </c>
      <c r="J5" s="218"/>
      <c r="K5" s="219"/>
      <c r="L5" s="219"/>
      <c r="M5" s="219"/>
      <c r="N5" s="219"/>
      <c r="O5" s="219"/>
      <c r="P5" s="219"/>
      <c r="Q5" s="219"/>
      <c r="R5" s="219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</row>
    <row r="6" spans="1:32">
      <c r="A6" s="225" t="s">
        <v>180</v>
      </c>
      <c r="B6" s="234">
        <v>5.0000000000000001E-3</v>
      </c>
      <c r="C6" s="225"/>
      <c r="D6" s="218"/>
      <c r="E6" s="218"/>
      <c r="F6" s="218"/>
      <c r="G6" s="225"/>
      <c r="H6" s="235"/>
      <c r="I6" s="230"/>
      <c r="J6" s="218"/>
      <c r="K6" s="219"/>
      <c r="L6" s="219"/>
      <c r="M6" s="219"/>
      <c r="N6" s="219"/>
      <c r="O6" s="219"/>
      <c r="P6" s="219"/>
      <c r="Q6" s="219"/>
      <c r="R6" s="219"/>
      <c r="S6" s="218"/>
      <c r="T6" s="218"/>
      <c r="U6" s="218"/>
      <c r="V6" s="218"/>
      <c r="W6" s="218"/>
      <c r="X6" s="218"/>
      <c r="Y6" s="218"/>
      <c r="Z6" s="218"/>
      <c r="AA6" s="218"/>
      <c r="AB6" s="218"/>
      <c r="AC6" s="218"/>
      <c r="AD6" s="218"/>
      <c r="AE6" s="218"/>
      <c r="AF6" s="218"/>
    </row>
    <row r="7" spans="1:32">
      <c r="A7" s="225" t="s">
        <v>181</v>
      </c>
      <c r="B7" s="229">
        <f>[2]Calcolo!$D$228</f>
        <v>1900000</v>
      </c>
      <c r="C7" s="225"/>
      <c r="D7" s="218"/>
      <c r="E7" s="218"/>
      <c r="F7" s="218"/>
      <c r="G7" s="225" t="s">
        <v>182</v>
      </c>
      <c r="H7" s="235">
        <v>9.6000000000000002E-2</v>
      </c>
      <c r="I7" s="230" t="s">
        <v>179</v>
      </c>
      <c r="J7" s="218"/>
      <c r="K7" s="219"/>
      <c r="L7" s="219"/>
      <c r="M7" s="219"/>
      <c r="N7" s="219"/>
      <c r="O7" s="219"/>
      <c r="P7" s="219"/>
      <c r="Q7" s="219"/>
      <c r="R7" s="219"/>
      <c r="S7" s="218"/>
      <c r="T7" s="218"/>
      <c r="U7" s="218"/>
      <c r="V7" s="218"/>
      <c r="W7" s="218"/>
      <c r="X7" s="218"/>
      <c r="Y7" s="218"/>
      <c r="Z7" s="218"/>
      <c r="AA7" s="218"/>
      <c r="AB7" s="218"/>
      <c r="AC7" s="218"/>
      <c r="AD7" s="218"/>
      <c r="AE7" s="218"/>
      <c r="AF7" s="218"/>
    </row>
    <row r="8" spans="1:32">
      <c r="A8" s="225" t="s">
        <v>183</v>
      </c>
      <c r="B8" s="229">
        <f>B7</f>
        <v>1900000</v>
      </c>
      <c r="C8" s="225" t="s">
        <v>175</v>
      </c>
      <c r="D8" s="218"/>
      <c r="E8" s="218"/>
      <c r="F8" s="218"/>
      <c r="G8" s="225" t="s">
        <v>184</v>
      </c>
      <c r="H8" s="234">
        <v>0.24</v>
      </c>
      <c r="I8" s="230"/>
      <c r="J8" s="218"/>
      <c r="K8" s="219"/>
      <c r="L8" s="219"/>
      <c r="M8" s="219"/>
      <c r="N8" s="219"/>
      <c r="O8" s="219"/>
      <c r="P8" s="219"/>
      <c r="Q8" s="219"/>
      <c r="R8" s="219"/>
      <c r="S8" s="218"/>
      <c r="T8" s="218"/>
      <c r="U8" s="218"/>
      <c r="V8" s="218"/>
      <c r="W8" s="218"/>
      <c r="X8" s="218"/>
      <c r="Y8" s="218"/>
      <c r="Z8" s="218"/>
      <c r="AA8" s="218"/>
      <c r="AB8" s="218"/>
      <c r="AC8" s="218"/>
      <c r="AD8" s="218"/>
      <c r="AE8" s="218"/>
      <c r="AF8" s="218"/>
    </row>
    <row r="9" spans="1:32">
      <c r="A9" s="225"/>
      <c r="B9" s="286">
        <v>0.5</v>
      </c>
      <c r="C9" s="225"/>
      <c r="D9" s="218"/>
      <c r="E9" s="218"/>
      <c r="F9" s="218"/>
      <c r="G9" s="225" t="s">
        <v>185</v>
      </c>
      <c r="H9" s="234">
        <v>3.9E-2</v>
      </c>
      <c r="I9" s="230"/>
      <c r="J9" s="218"/>
      <c r="K9" s="219"/>
      <c r="L9" s="219"/>
      <c r="M9" s="219"/>
      <c r="N9" s="219"/>
      <c r="O9" s="219"/>
      <c r="P9" s="219"/>
      <c r="Q9" s="219"/>
      <c r="R9" s="219"/>
      <c r="S9" s="218"/>
      <c r="T9" s="218"/>
      <c r="U9" s="218"/>
      <c r="V9" s="218"/>
      <c r="W9" s="218"/>
      <c r="X9" s="218"/>
      <c r="Y9" s="218"/>
      <c r="Z9" s="218"/>
      <c r="AA9" s="218"/>
      <c r="AB9" s="218"/>
      <c r="AC9" s="218"/>
      <c r="AD9" s="218"/>
      <c r="AE9" s="218"/>
      <c r="AF9" s="218"/>
    </row>
    <row r="10" spans="1:32">
      <c r="A10" s="225" t="s">
        <v>186</v>
      </c>
      <c r="B10" s="229">
        <f>+B8*B9</f>
        <v>950000</v>
      </c>
      <c r="C10" s="225"/>
      <c r="D10" s="218">
        <v>25</v>
      </c>
      <c r="E10" s="218" t="s">
        <v>195</v>
      </c>
      <c r="F10" s="218"/>
      <c r="G10" s="225" t="s">
        <v>187</v>
      </c>
      <c r="H10" s="234">
        <v>1.06E-2</v>
      </c>
      <c r="I10" s="230"/>
      <c r="J10" s="218"/>
      <c r="K10" s="219"/>
      <c r="L10" s="219"/>
      <c r="M10" s="219"/>
      <c r="N10" s="219"/>
      <c r="O10" s="219"/>
      <c r="P10" s="219"/>
      <c r="Q10" s="219"/>
      <c r="R10" s="219"/>
      <c r="S10" s="218"/>
      <c r="T10" s="218"/>
      <c r="U10" s="218"/>
      <c r="V10" s="218"/>
      <c r="W10" s="218"/>
      <c r="X10" s="218"/>
      <c r="Y10" s="218"/>
      <c r="Z10" s="218"/>
      <c r="AA10" s="218"/>
      <c r="AB10" s="218"/>
      <c r="AC10" s="218"/>
      <c r="AD10" s="218"/>
      <c r="AE10" s="218"/>
      <c r="AF10" s="218"/>
    </row>
    <row r="11" spans="1:32">
      <c r="A11" s="327" t="s">
        <v>188</v>
      </c>
      <c r="B11" s="328">
        <v>5.0000000000000001E-3</v>
      </c>
      <c r="C11" s="329" t="s">
        <v>189</v>
      </c>
      <c r="D11" s="330"/>
      <c r="E11" s="218"/>
      <c r="F11" s="218"/>
      <c r="G11" s="236"/>
      <c r="H11" s="218"/>
      <c r="I11" s="218"/>
      <c r="J11" s="218"/>
      <c r="K11" s="219"/>
      <c r="L11" s="219"/>
      <c r="M11" s="219"/>
      <c r="N11" s="219"/>
      <c r="O11" s="219"/>
      <c r="P11" s="219"/>
      <c r="Q11" s="219"/>
      <c r="R11" s="219"/>
      <c r="S11" s="218"/>
      <c r="T11" s="218"/>
      <c r="U11" s="218"/>
      <c r="V11" s="218"/>
      <c r="W11" s="218"/>
      <c r="X11" s="218"/>
      <c r="Y11" s="218"/>
      <c r="Z11" s="218"/>
      <c r="AA11" s="218"/>
      <c r="AB11" s="218"/>
      <c r="AC11" s="218"/>
      <c r="AD11" s="218"/>
      <c r="AE11" s="218"/>
      <c r="AF11" s="218"/>
    </row>
    <row r="12" spans="1:32">
      <c r="A12" s="327" t="s">
        <v>190</v>
      </c>
      <c r="B12" s="328">
        <v>0.02</v>
      </c>
      <c r="C12" s="327"/>
      <c r="D12" s="330"/>
      <c r="E12" s="218"/>
      <c r="F12" s="237"/>
      <c r="G12" s="236"/>
      <c r="H12" s="218"/>
      <c r="I12" s="218"/>
      <c r="J12" s="218"/>
      <c r="K12" s="219"/>
      <c r="L12" s="219"/>
      <c r="M12" s="219"/>
      <c r="N12" s="219"/>
      <c r="O12" s="219"/>
      <c r="P12" s="219"/>
      <c r="Q12" s="219"/>
      <c r="R12" s="219"/>
      <c r="S12" s="218"/>
      <c r="T12" s="218"/>
      <c r="U12" s="218"/>
      <c r="V12" s="218"/>
      <c r="W12" s="218"/>
      <c r="X12" s="218"/>
      <c r="Y12" s="218"/>
      <c r="Z12" s="218"/>
      <c r="AA12" s="218"/>
      <c r="AB12" s="218"/>
      <c r="AC12" s="218"/>
      <c r="AD12" s="218"/>
      <c r="AE12" s="218"/>
      <c r="AF12" s="218"/>
    </row>
    <row r="13" spans="1:32">
      <c r="A13" s="327" t="s">
        <v>191</v>
      </c>
      <c r="B13" s="328">
        <f>B11+B12</f>
        <v>2.5000000000000001E-2</v>
      </c>
      <c r="C13" s="327"/>
      <c r="D13" s="330"/>
      <c r="E13" s="218"/>
      <c r="F13" s="218"/>
      <c r="G13" s="218"/>
      <c r="H13" s="238"/>
      <c r="I13" s="218"/>
      <c r="J13" s="218"/>
      <c r="K13" s="219"/>
      <c r="L13" s="219"/>
      <c r="M13" s="219"/>
      <c r="N13" s="219"/>
      <c r="O13" s="219"/>
      <c r="P13" s="219"/>
      <c r="Q13" s="219"/>
      <c r="R13" s="219"/>
      <c r="S13" s="218"/>
      <c r="T13" s="218"/>
      <c r="U13" s="218"/>
      <c r="V13" s="218"/>
      <c r="W13" s="218"/>
      <c r="X13" s="218"/>
      <c r="Y13" s="218"/>
      <c r="Z13" s="218"/>
      <c r="AA13" s="218"/>
      <c r="AB13" s="218"/>
      <c r="AC13" s="218"/>
      <c r="AD13" s="218"/>
      <c r="AE13" s="218"/>
      <c r="AF13" s="218"/>
    </row>
    <row r="14" spans="1:32">
      <c r="A14" s="327" t="s">
        <v>192</v>
      </c>
      <c r="B14" s="328">
        <v>5.5E-2</v>
      </c>
      <c r="C14" s="327"/>
      <c r="D14" s="330"/>
      <c r="E14" s="218"/>
      <c r="F14" s="239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18"/>
      <c r="Y14" s="218"/>
      <c r="Z14" s="218"/>
      <c r="AA14" s="218"/>
      <c r="AB14" s="218"/>
      <c r="AC14" s="218"/>
      <c r="AD14" s="218"/>
      <c r="AE14" s="218"/>
      <c r="AF14" s="218"/>
    </row>
    <row r="15" spans="1:32">
      <c r="A15" s="327" t="s">
        <v>193</v>
      </c>
      <c r="B15" s="327">
        <f>12*D15</f>
        <v>180</v>
      </c>
      <c r="C15" s="327" t="s">
        <v>194</v>
      </c>
      <c r="D15" s="330">
        <v>15</v>
      </c>
      <c r="E15" s="218" t="s">
        <v>195</v>
      </c>
      <c r="F15" s="218"/>
      <c r="G15" s="218"/>
      <c r="H15" s="239"/>
      <c r="I15" s="218"/>
      <c r="J15" s="240"/>
      <c r="K15" s="218"/>
      <c r="L15" s="218"/>
      <c r="M15" s="218"/>
      <c r="N15" s="218"/>
      <c r="O15" s="218"/>
      <c r="P15" s="218"/>
      <c r="Q15" s="218"/>
      <c r="R15" s="218"/>
      <c r="S15" s="218"/>
      <c r="T15" s="218"/>
      <c r="U15" s="218"/>
      <c r="V15" s="218"/>
      <c r="W15" s="218"/>
      <c r="X15" s="218"/>
      <c r="Y15" s="218"/>
      <c r="Z15" s="218"/>
      <c r="AA15" s="218"/>
      <c r="AB15" s="218"/>
      <c r="AC15" s="218"/>
      <c r="AD15" s="218"/>
      <c r="AE15" s="218"/>
      <c r="AF15" s="218"/>
    </row>
    <row r="16" spans="1:32">
      <c r="A16" s="327" t="s">
        <v>196</v>
      </c>
      <c r="B16" s="327">
        <f>+B15+36*0</f>
        <v>180</v>
      </c>
      <c r="C16" s="327" t="s">
        <v>194</v>
      </c>
      <c r="D16" s="331"/>
      <c r="E16" s="218"/>
      <c r="F16" s="218"/>
      <c r="G16" s="218"/>
      <c r="H16" s="218"/>
      <c r="I16" s="218"/>
      <c r="J16" s="218"/>
      <c r="K16" s="218"/>
      <c r="L16" s="218"/>
      <c r="M16" s="218"/>
      <c r="N16" s="218"/>
      <c r="O16" s="218"/>
      <c r="P16" s="218"/>
      <c r="Q16" s="218"/>
      <c r="R16" s="218"/>
      <c r="S16" s="218"/>
      <c r="T16" s="218"/>
      <c r="U16" s="218"/>
      <c r="V16" s="218"/>
      <c r="W16" s="218"/>
      <c r="X16" s="218"/>
      <c r="Y16" s="218"/>
      <c r="Z16" s="218"/>
      <c r="AA16" s="218"/>
      <c r="AB16" s="218"/>
      <c r="AC16" s="218"/>
      <c r="AD16" s="218"/>
      <c r="AE16" s="218"/>
      <c r="AF16" s="218"/>
    </row>
    <row r="17" spans="1:32">
      <c r="A17" s="241"/>
      <c r="B17" s="222"/>
      <c r="C17" s="241"/>
      <c r="D17" s="241"/>
      <c r="E17" s="218"/>
      <c r="F17" s="218"/>
      <c r="G17" s="218"/>
      <c r="H17" s="218"/>
      <c r="I17" s="218"/>
      <c r="J17" s="218"/>
      <c r="K17" s="218"/>
      <c r="L17" s="218"/>
      <c r="M17" s="218"/>
      <c r="N17" s="218"/>
      <c r="O17" s="218"/>
      <c r="P17" s="218"/>
      <c r="Q17" s="218"/>
      <c r="R17" s="218"/>
      <c r="S17" s="218"/>
      <c r="T17" s="218"/>
      <c r="U17" s="218"/>
      <c r="V17" s="218"/>
      <c r="W17" s="218"/>
      <c r="X17" s="218"/>
      <c r="Y17" s="218"/>
      <c r="Z17" s="218"/>
      <c r="AA17" s="218"/>
      <c r="AB17" s="218"/>
      <c r="AC17" s="218"/>
      <c r="AD17" s="218"/>
      <c r="AE17" s="218"/>
      <c r="AF17" s="218"/>
    </row>
    <row r="18" spans="1:32" ht="17.399999999999999">
      <c r="A18" s="242" t="s">
        <v>197</v>
      </c>
      <c r="B18" s="222"/>
      <c r="C18" s="218"/>
      <c r="D18" s="218"/>
      <c r="E18" s="218"/>
      <c r="F18" s="218"/>
      <c r="G18" s="218"/>
      <c r="H18" s="218"/>
      <c r="I18" s="218"/>
      <c r="J18" s="218"/>
      <c r="K18" s="218"/>
      <c r="L18" s="218"/>
      <c r="M18" s="218"/>
      <c r="N18" s="218"/>
      <c r="O18" s="218"/>
      <c r="P18" s="218"/>
      <c r="Q18" s="218"/>
      <c r="R18" s="218"/>
      <c r="S18" s="218"/>
      <c r="T18" s="218"/>
      <c r="U18" s="218"/>
      <c r="V18" s="218"/>
      <c r="W18" s="218"/>
      <c r="X18" s="218"/>
      <c r="Y18" s="218"/>
      <c r="Z18" s="218"/>
      <c r="AA18" s="218"/>
      <c r="AB18" s="218"/>
      <c r="AC18" s="218"/>
      <c r="AD18" s="218"/>
      <c r="AE18" s="218"/>
      <c r="AF18" s="218"/>
    </row>
    <row r="19" spans="1:32" ht="17.399999999999999">
      <c r="A19" s="242"/>
      <c r="B19" s="222"/>
      <c r="C19" s="241"/>
      <c r="D19" s="241"/>
      <c r="E19" s="218"/>
      <c r="F19" s="218"/>
      <c r="G19" s="218"/>
      <c r="H19" s="218"/>
      <c r="I19" s="218"/>
      <c r="J19" s="218"/>
      <c r="K19" s="218"/>
      <c r="L19" s="218"/>
      <c r="M19" s="218"/>
      <c r="N19" s="218"/>
      <c r="O19" s="218"/>
      <c r="P19" s="218"/>
      <c r="Q19" s="218"/>
      <c r="R19" s="218"/>
      <c r="S19" s="218"/>
      <c r="T19" s="218"/>
      <c r="U19" s="218"/>
      <c r="V19" s="218"/>
      <c r="W19" s="218"/>
      <c r="X19" s="218"/>
      <c r="Y19" s="218"/>
      <c r="Z19" s="218"/>
      <c r="AA19" s="218"/>
      <c r="AB19" s="218"/>
      <c r="AC19" s="218"/>
      <c r="AD19" s="218"/>
      <c r="AE19" s="218"/>
      <c r="AF19" s="218"/>
    </row>
    <row r="20" spans="1:32" ht="17.399999999999999">
      <c r="A20" s="242"/>
      <c r="B20" s="222"/>
      <c r="C20" s="241"/>
      <c r="D20" s="241"/>
      <c r="E20" s="218"/>
      <c r="F20" s="218"/>
      <c r="G20" s="218"/>
      <c r="H20" s="218"/>
      <c r="I20" s="218"/>
      <c r="J20" s="218"/>
      <c r="K20" s="218"/>
      <c r="L20" s="218"/>
      <c r="M20" s="218"/>
      <c r="N20" s="218"/>
      <c r="O20" s="218"/>
      <c r="P20" s="218"/>
      <c r="Q20" s="218"/>
      <c r="R20" s="218"/>
      <c r="S20" s="218"/>
      <c r="T20" s="218"/>
      <c r="U20" s="218"/>
      <c r="V20" s="218"/>
      <c r="W20" s="218"/>
      <c r="X20" s="218"/>
      <c r="Y20" s="218"/>
      <c r="Z20" s="218"/>
      <c r="AA20" s="218"/>
      <c r="AB20" s="218"/>
      <c r="AC20" s="218"/>
      <c r="AD20" s="218"/>
      <c r="AE20" s="218"/>
      <c r="AF20" s="218"/>
    </row>
    <row r="21" spans="1:32">
      <c r="A21" s="243"/>
      <c r="B21" s="222"/>
      <c r="C21" s="241"/>
      <c r="D21" s="241"/>
      <c r="E21" s="218"/>
      <c r="F21" s="218"/>
      <c r="G21" s="218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18"/>
      <c r="Y21" s="218"/>
      <c r="Z21" s="218"/>
      <c r="AA21" s="218"/>
      <c r="AB21" s="218"/>
      <c r="AC21" s="218"/>
      <c r="AD21" s="218"/>
      <c r="AE21" s="218"/>
      <c r="AF21" s="218"/>
    </row>
    <row r="22" spans="1:32">
      <c r="A22" s="241"/>
      <c r="B22" s="218"/>
      <c r="C22" s="218"/>
      <c r="D22" s="218"/>
      <c r="E22" s="218"/>
      <c r="F22" s="218"/>
      <c r="G22" s="218"/>
      <c r="H22" s="218"/>
      <c r="I22" s="218"/>
      <c r="J22" s="218"/>
      <c r="K22" s="218"/>
      <c r="L22" s="218"/>
      <c r="M22" s="218"/>
      <c r="N22" s="218"/>
      <c r="O22" s="218"/>
      <c r="P22" s="218"/>
      <c r="Q22" s="218"/>
      <c r="R22" s="218"/>
      <c r="S22" s="218"/>
      <c r="T22" s="218"/>
      <c r="U22" s="218"/>
      <c r="V22" s="218"/>
      <c r="W22" s="218"/>
      <c r="X22" s="218"/>
      <c r="Y22" s="218"/>
      <c r="Z22" s="218"/>
      <c r="AA22" s="218"/>
      <c r="AB22" s="218"/>
      <c r="AC22" s="218"/>
      <c r="AD22" s="218"/>
      <c r="AE22" s="218"/>
      <c r="AF22" s="218"/>
    </row>
    <row r="23" spans="1:32">
      <c r="A23" s="218"/>
      <c r="B23" s="218"/>
      <c r="C23" s="218"/>
      <c r="D23" s="218"/>
      <c r="E23" s="244">
        <v>0</v>
      </c>
      <c r="F23" s="244">
        <v>1</v>
      </c>
      <c r="G23" s="244">
        <v>2</v>
      </c>
      <c r="H23" s="244">
        <v>3</v>
      </c>
      <c r="I23" s="244">
        <v>4</v>
      </c>
      <c r="J23" s="244">
        <v>5</v>
      </c>
      <c r="K23" s="244">
        <v>6</v>
      </c>
      <c r="L23" s="244">
        <v>7</v>
      </c>
      <c r="M23" s="244">
        <v>8</v>
      </c>
      <c r="N23" s="244">
        <v>9</v>
      </c>
      <c r="O23" s="244">
        <v>10</v>
      </c>
      <c r="P23" s="244">
        <v>11</v>
      </c>
      <c r="Q23" s="244">
        <v>12</v>
      </c>
      <c r="R23" s="244">
        <v>13</v>
      </c>
      <c r="S23" s="244">
        <v>14</v>
      </c>
      <c r="T23" s="244">
        <v>15</v>
      </c>
      <c r="U23" s="244">
        <v>16</v>
      </c>
      <c r="V23" s="244">
        <v>17</v>
      </c>
      <c r="W23" s="244">
        <v>18</v>
      </c>
      <c r="X23" s="244">
        <v>19</v>
      </c>
      <c r="Y23" s="244">
        <v>20</v>
      </c>
      <c r="Z23" s="244">
        <v>21</v>
      </c>
      <c r="AA23" s="244">
        <v>22</v>
      </c>
      <c r="AB23" s="244">
        <v>23</v>
      </c>
      <c r="AC23" s="244">
        <v>24</v>
      </c>
      <c r="AD23" s="244">
        <v>25</v>
      </c>
      <c r="AE23" s="244"/>
      <c r="AF23" s="218"/>
    </row>
    <row r="24" spans="1:32" ht="15.6">
      <c r="A24" s="245" t="s">
        <v>198</v>
      </c>
      <c r="B24" s="246"/>
      <c r="C24" s="246"/>
      <c r="D24" s="246"/>
      <c r="E24" s="247">
        <v>2025</v>
      </c>
      <c r="F24" s="247">
        <f>+E24+1</f>
        <v>2026</v>
      </c>
      <c r="G24" s="247">
        <f t="shared" ref="G24:AD24" si="0">+F24+1</f>
        <v>2027</v>
      </c>
      <c r="H24" s="247">
        <f t="shared" si="0"/>
        <v>2028</v>
      </c>
      <c r="I24" s="247">
        <f t="shared" si="0"/>
        <v>2029</v>
      </c>
      <c r="J24" s="247">
        <f t="shared" si="0"/>
        <v>2030</v>
      </c>
      <c r="K24" s="247">
        <f t="shared" si="0"/>
        <v>2031</v>
      </c>
      <c r="L24" s="247">
        <f t="shared" si="0"/>
        <v>2032</v>
      </c>
      <c r="M24" s="247">
        <f t="shared" si="0"/>
        <v>2033</v>
      </c>
      <c r="N24" s="247">
        <f t="shared" si="0"/>
        <v>2034</v>
      </c>
      <c r="O24" s="247">
        <f t="shared" si="0"/>
        <v>2035</v>
      </c>
      <c r="P24" s="247">
        <f t="shared" si="0"/>
        <v>2036</v>
      </c>
      <c r="Q24" s="247">
        <f t="shared" si="0"/>
        <v>2037</v>
      </c>
      <c r="R24" s="247">
        <f t="shared" si="0"/>
        <v>2038</v>
      </c>
      <c r="S24" s="247">
        <f t="shared" si="0"/>
        <v>2039</v>
      </c>
      <c r="T24" s="247">
        <f t="shared" si="0"/>
        <v>2040</v>
      </c>
      <c r="U24" s="247">
        <f t="shared" si="0"/>
        <v>2041</v>
      </c>
      <c r="V24" s="247">
        <f t="shared" si="0"/>
        <v>2042</v>
      </c>
      <c r="W24" s="247">
        <f t="shared" si="0"/>
        <v>2043</v>
      </c>
      <c r="X24" s="247">
        <f t="shared" si="0"/>
        <v>2044</v>
      </c>
      <c r="Y24" s="247">
        <f t="shared" si="0"/>
        <v>2045</v>
      </c>
      <c r="Z24" s="247">
        <f t="shared" si="0"/>
        <v>2046</v>
      </c>
      <c r="AA24" s="247">
        <f t="shared" si="0"/>
        <v>2047</v>
      </c>
      <c r="AB24" s="247">
        <f t="shared" si="0"/>
        <v>2048</v>
      </c>
      <c r="AC24" s="247">
        <f t="shared" si="0"/>
        <v>2049</v>
      </c>
      <c r="AD24" s="247">
        <f t="shared" si="0"/>
        <v>2050</v>
      </c>
      <c r="AE24" s="247" t="s">
        <v>199</v>
      </c>
      <c r="AF24" s="248"/>
    </row>
    <row r="25" spans="1:32">
      <c r="A25" s="249"/>
      <c r="B25" s="249"/>
      <c r="C25" s="249"/>
      <c r="D25" s="249"/>
      <c r="E25" s="249"/>
      <c r="F25" s="249"/>
      <c r="G25" s="249"/>
      <c r="H25" s="249"/>
      <c r="I25" s="249"/>
      <c r="J25" s="249"/>
      <c r="K25" s="249"/>
      <c r="L25" s="230"/>
      <c r="M25" s="230"/>
      <c r="N25" s="230"/>
      <c r="O25" s="230"/>
      <c r="P25" s="230"/>
      <c r="Q25" s="230"/>
      <c r="R25" s="230"/>
      <c r="S25" s="230"/>
      <c r="T25" s="230"/>
      <c r="U25" s="230"/>
      <c r="V25" s="230"/>
      <c r="W25" s="230"/>
      <c r="X25" s="230"/>
      <c r="Y25" s="230"/>
      <c r="Z25" s="230"/>
      <c r="AA25" s="230"/>
      <c r="AB25" s="230"/>
      <c r="AC25" s="230"/>
      <c r="AD25" s="230"/>
      <c r="AE25" s="230"/>
      <c r="AF25" s="218"/>
    </row>
    <row r="26" spans="1:32">
      <c r="A26" s="230" t="s">
        <v>200</v>
      </c>
      <c r="B26" s="230"/>
      <c r="C26" s="230"/>
      <c r="D26" s="250"/>
      <c r="E26" s="251" t="s">
        <v>201</v>
      </c>
      <c r="F26" s="250">
        <f>Calcolo!M55*1000</f>
        <v>789544.8</v>
      </c>
      <c r="G26" s="252">
        <f>F26</f>
        <v>789544.8</v>
      </c>
      <c r="H26" s="252">
        <f t="shared" ref="H26:W26" si="1">G26</f>
        <v>789544.8</v>
      </c>
      <c r="I26" s="252">
        <f t="shared" si="1"/>
        <v>789544.8</v>
      </c>
      <c r="J26" s="252">
        <f t="shared" si="1"/>
        <v>789544.8</v>
      </c>
      <c r="K26" s="252">
        <f t="shared" si="1"/>
        <v>789544.8</v>
      </c>
      <c r="L26" s="252">
        <f t="shared" si="1"/>
        <v>789544.8</v>
      </c>
      <c r="M26" s="252">
        <f t="shared" si="1"/>
        <v>789544.8</v>
      </c>
      <c r="N26" s="252">
        <f t="shared" si="1"/>
        <v>789544.8</v>
      </c>
      <c r="O26" s="252">
        <f t="shared" si="1"/>
        <v>789544.8</v>
      </c>
      <c r="P26" s="252">
        <f t="shared" si="1"/>
        <v>789544.8</v>
      </c>
      <c r="Q26" s="252">
        <f t="shared" si="1"/>
        <v>789544.8</v>
      </c>
      <c r="R26" s="252">
        <f t="shared" si="1"/>
        <v>789544.8</v>
      </c>
      <c r="S26" s="252">
        <f t="shared" si="1"/>
        <v>789544.8</v>
      </c>
      <c r="T26" s="252">
        <f t="shared" si="1"/>
        <v>789544.8</v>
      </c>
      <c r="U26" s="252">
        <f t="shared" si="1"/>
        <v>789544.8</v>
      </c>
      <c r="V26" s="252">
        <f t="shared" si="1"/>
        <v>789544.8</v>
      </c>
      <c r="W26" s="252">
        <f t="shared" si="1"/>
        <v>789544.8</v>
      </c>
      <c r="X26" s="252">
        <f t="shared" ref="X26:AD26" si="2">W26</f>
        <v>789544.8</v>
      </c>
      <c r="Y26" s="252">
        <f t="shared" si="2"/>
        <v>789544.8</v>
      </c>
      <c r="Z26" s="252">
        <f t="shared" si="2"/>
        <v>789544.8</v>
      </c>
      <c r="AA26" s="252">
        <f t="shared" si="2"/>
        <v>789544.8</v>
      </c>
      <c r="AB26" s="252">
        <f t="shared" si="2"/>
        <v>789544.8</v>
      </c>
      <c r="AC26" s="252">
        <f t="shared" si="2"/>
        <v>789544.8</v>
      </c>
      <c r="AD26" s="252">
        <f t="shared" si="2"/>
        <v>789544.8</v>
      </c>
      <c r="AE26" s="252">
        <f>SUM(F26:AD26)</f>
        <v>19738620.000000007</v>
      </c>
      <c r="AF26" s="218"/>
    </row>
    <row r="27" spans="1:32">
      <c r="A27" s="249"/>
      <c r="B27" s="249"/>
      <c r="C27" s="249"/>
      <c r="D27" s="249"/>
      <c r="E27" s="252"/>
      <c r="F27" s="254"/>
      <c r="G27" s="254"/>
      <c r="H27" s="254"/>
      <c r="I27" s="254"/>
      <c r="J27" s="254"/>
      <c r="K27" s="254"/>
      <c r="L27" s="230"/>
      <c r="M27" s="230"/>
      <c r="N27" s="230"/>
      <c r="O27" s="230"/>
      <c r="P27" s="230"/>
      <c r="Q27" s="230"/>
      <c r="R27" s="230"/>
      <c r="S27" s="230"/>
      <c r="T27" s="230"/>
      <c r="U27" s="230"/>
      <c r="V27" s="230"/>
      <c r="W27" s="230"/>
      <c r="X27" s="230"/>
      <c r="Y27" s="230"/>
      <c r="Z27" s="230"/>
      <c r="AA27" s="230"/>
      <c r="AB27" s="230"/>
      <c r="AC27" s="230"/>
      <c r="AD27" s="230"/>
      <c r="AE27" s="230"/>
      <c r="AF27" s="218"/>
    </row>
    <row r="28" spans="1:32">
      <c r="A28" s="249" t="s">
        <v>202</v>
      </c>
      <c r="B28" s="230"/>
      <c r="C28" s="230"/>
      <c r="D28" s="255">
        <f>H7</f>
        <v>9.6000000000000002E-2</v>
      </c>
      <c r="E28" s="256" t="s">
        <v>179</v>
      </c>
      <c r="F28" s="257">
        <f>+H7</f>
        <v>9.6000000000000002E-2</v>
      </c>
      <c r="G28" s="258">
        <f t="shared" ref="G28:AD28" si="3">F28</f>
        <v>9.6000000000000002E-2</v>
      </c>
      <c r="H28" s="258">
        <f t="shared" si="3"/>
        <v>9.6000000000000002E-2</v>
      </c>
      <c r="I28" s="258">
        <f t="shared" si="3"/>
        <v>9.6000000000000002E-2</v>
      </c>
      <c r="J28" s="258">
        <f t="shared" si="3"/>
        <v>9.6000000000000002E-2</v>
      </c>
      <c r="K28" s="258">
        <f t="shared" si="3"/>
        <v>9.6000000000000002E-2</v>
      </c>
      <c r="L28" s="258">
        <f t="shared" si="3"/>
        <v>9.6000000000000002E-2</v>
      </c>
      <c r="M28" s="258">
        <f t="shared" si="3"/>
        <v>9.6000000000000002E-2</v>
      </c>
      <c r="N28" s="258">
        <f t="shared" si="3"/>
        <v>9.6000000000000002E-2</v>
      </c>
      <c r="O28" s="258">
        <f t="shared" si="3"/>
        <v>9.6000000000000002E-2</v>
      </c>
      <c r="P28" s="258">
        <f t="shared" si="3"/>
        <v>9.6000000000000002E-2</v>
      </c>
      <c r="Q28" s="258">
        <f t="shared" si="3"/>
        <v>9.6000000000000002E-2</v>
      </c>
      <c r="R28" s="258">
        <f t="shared" si="3"/>
        <v>9.6000000000000002E-2</v>
      </c>
      <c r="S28" s="258">
        <f t="shared" si="3"/>
        <v>9.6000000000000002E-2</v>
      </c>
      <c r="T28" s="258">
        <f t="shared" si="3"/>
        <v>9.6000000000000002E-2</v>
      </c>
      <c r="U28" s="258">
        <f t="shared" si="3"/>
        <v>9.6000000000000002E-2</v>
      </c>
      <c r="V28" s="258">
        <f t="shared" si="3"/>
        <v>9.6000000000000002E-2</v>
      </c>
      <c r="W28" s="258">
        <f t="shared" si="3"/>
        <v>9.6000000000000002E-2</v>
      </c>
      <c r="X28" s="258">
        <f t="shared" si="3"/>
        <v>9.6000000000000002E-2</v>
      </c>
      <c r="Y28" s="258">
        <f t="shared" si="3"/>
        <v>9.6000000000000002E-2</v>
      </c>
      <c r="Z28" s="258">
        <f t="shared" si="3"/>
        <v>9.6000000000000002E-2</v>
      </c>
      <c r="AA28" s="258">
        <f t="shared" si="3"/>
        <v>9.6000000000000002E-2</v>
      </c>
      <c r="AB28" s="258">
        <f t="shared" si="3"/>
        <v>9.6000000000000002E-2</v>
      </c>
      <c r="AC28" s="258">
        <f t="shared" si="3"/>
        <v>9.6000000000000002E-2</v>
      </c>
      <c r="AD28" s="258">
        <f t="shared" si="3"/>
        <v>9.6000000000000002E-2</v>
      </c>
      <c r="AE28" s="258"/>
      <c r="AF28" s="218"/>
    </row>
    <row r="29" spans="1:32">
      <c r="A29" s="249"/>
      <c r="B29" s="249"/>
      <c r="C29" s="249"/>
      <c r="D29" s="249"/>
      <c r="E29" s="249"/>
      <c r="F29" s="249"/>
      <c r="G29" s="253"/>
      <c r="H29" s="253"/>
      <c r="I29" s="253"/>
      <c r="J29" s="253"/>
      <c r="K29" s="253"/>
      <c r="L29" s="230"/>
      <c r="M29" s="230"/>
      <c r="N29" s="230"/>
      <c r="O29" s="230"/>
      <c r="P29" s="230"/>
      <c r="Q29" s="230"/>
      <c r="R29" s="230"/>
      <c r="S29" s="230"/>
      <c r="T29" s="230"/>
      <c r="U29" s="230"/>
      <c r="V29" s="230"/>
      <c r="W29" s="230"/>
      <c r="X29" s="230"/>
      <c r="Y29" s="230"/>
      <c r="Z29" s="230"/>
      <c r="AA29" s="230"/>
      <c r="AB29" s="230"/>
      <c r="AC29" s="230"/>
      <c r="AD29" s="230"/>
      <c r="AE29" s="230"/>
      <c r="AF29" s="218"/>
    </row>
    <row r="30" spans="1:32">
      <c r="A30" s="249" t="s">
        <v>203</v>
      </c>
      <c r="B30" s="230"/>
      <c r="C30" s="230"/>
      <c r="D30" s="249"/>
      <c r="E30" s="256" t="s">
        <v>175</v>
      </c>
      <c r="F30" s="252">
        <f t="shared" ref="F30:AD30" si="4">F26*F28</f>
        <v>75796.300800000012</v>
      </c>
      <c r="G30" s="252">
        <f t="shared" si="4"/>
        <v>75796.300800000012</v>
      </c>
      <c r="H30" s="252">
        <f t="shared" si="4"/>
        <v>75796.300800000012</v>
      </c>
      <c r="I30" s="252">
        <f t="shared" si="4"/>
        <v>75796.300800000012</v>
      </c>
      <c r="J30" s="252">
        <f t="shared" si="4"/>
        <v>75796.300800000012</v>
      </c>
      <c r="K30" s="252">
        <f t="shared" si="4"/>
        <v>75796.300800000012</v>
      </c>
      <c r="L30" s="252">
        <f t="shared" si="4"/>
        <v>75796.300800000012</v>
      </c>
      <c r="M30" s="252">
        <f t="shared" si="4"/>
        <v>75796.300800000012</v>
      </c>
      <c r="N30" s="252">
        <f t="shared" si="4"/>
        <v>75796.300800000012</v>
      </c>
      <c r="O30" s="252">
        <f t="shared" si="4"/>
        <v>75796.300800000012</v>
      </c>
      <c r="P30" s="252">
        <f t="shared" si="4"/>
        <v>75796.300800000012</v>
      </c>
      <c r="Q30" s="252">
        <f t="shared" si="4"/>
        <v>75796.300800000012</v>
      </c>
      <c r="R30" s="252">
        <f t="shared" si="4"/>
        <v>75796.300800000012</v>
      </c>
      <c r="S30" s="252">
        <f t="shared" si="4"/>
        <v>75796.300800000012</v>
      </c>
      <c r="T30" s="252">
        <f t="shared" si="4"/>
        <v>75796.300800000012</v>
      </c>
      <c r="U30" s="252">
        <f t="shared" si="4"/>
        <v>75796.300800000012</v>
      </c>
      <c r="V30" s="252">
        <f t="shared" si="4"/>
        <v>75796.300800000012</v>
      </c>
      <c r="W30" s="252">
        <f t="shared" si="4"/>
        <v>75796.300800000012</v>
      </c>
      <c r="X30" s="252">
        <f t="shared" si="4"/>
        <v>75796.300800000012</v>
      </c>
      <c r="Y30" s="252">
        <f t="shared" si="4"/>
        <v>75796.300800000012</v>
      </c>
      <c r="Z30" s="252">
        <f t="shared" si="4"/>
        <v>75796.300800000012</v>
      </c>
      <c r="AA30" s="252">
        <f t="shared" si="4"/>
        <v>75796.300800000012</v>
      </c>
      <c r="AB30" s="252">
        <f t="shared" si="4"/>
        <v>75796.300800000012</v>
      </c>
      <c r="AC30" s="252">
        <f t="shared" si="4"/>
        <v>75796.300800000012</v>
      </c>
      <c r="AD30" s="252">
        <f t="shared" si="4"/>
        <v>75796.300800000012</v>
      </c>
      <c r="AE30" s="252">
        <f>SUM(F30:AD30)</f>
        <v>1894907.5200000009</v>
      </c>
      <c r="AF30" s="218"/>
    </row>
    <row r="31" spans="1:32" ht="15" thickBot="1">
      <c r="A31" s="290"/>
      <c r="B31" s="290"/>
      <c r="C31" s="290"/>
      <c r="D31" s="290"/>
      <c r="E31" s="290"/>
      <c r="F31" s="290"/>
      <c r="G31" s="290"/>
      <c r="H31" s="290"/>
      <c r="I31" s="290"/>
      <c r="J31" s="290"/>
      <c r="K31" s="290"/>
      <c r="L31" s="290"/>
      <c r="M31" s="290"/>
      <c r="N31" s="290"/>
      <c r="O31" s="290"/>
      <c r="P31" s="290"/>
      <c r="Q31" s="290"/>
      <c r="R31" s="290"/>
      <c r="S31" s="290"/>
      <c r="T31" s="290"/>
      <c r="U31" s="290"/>
      <c r="V31" s="290"/>
      <c r="W31" s="290"/>
      <c r="X31" s="290"/>
      <c r="Y31" s="290"/>
      <c r="Z31" s="290"/>
      <c r="AA31" s="290"/>
      <c r="AB31" s="290"/>
      <c r="AC31" s="290"/>
      <c r="AD31" s="290"/>
      <c r="AE31" s="290"/>
      <c r="AF31" s="218"/>
    </row>
    <row r="32" spans="1:32">
      <c r="A32" t="s">
        <v>228</v>
      </c>
      <c r="E32" s="288" t="s">
        <v>201</v>
      </c>
      <c r="F32" s="289">
        <f>Calcolo!$M$65*1000*(1-0.19)</f>
        <v>1070236.1465325002</v>
      </c>
      <c r="G32" s="289">
        <f>Calcolo!$M$65*1000*(1-0.19)</f>
        <v>1070236.1465325002</v>
      </c>
      <c r="H32" s="289">
        <f>Calcolo!$M$65*1000*(1-0.19)</f>
        <v>1070236.1465325002</v>
      </c>
      <c r="I32" s="289">
        <f>Calcolo!$M$65*1000*(1-0.19)</f>
        <v>1070236.1465325002</v>
      </c>
      <c r="J32" s="289">
        <f>Calcolo!$M$65*1000*(1-0.19)</f>
        <v>1070236.1465325002</v>
      </c>
      <c r="K32" s="289">
        <f>Calcolo!$M$65*1000*(1-0.19)</f>
        <v>1070236.1465325002</v>
      </c>
      <c r="L32" s="289">
        <f>Calcolo!$M$65*1000*(1-0.19)</f>
        <v>1070236.1465325002</v>
      </c>
      <c r="M32" s="289">
        <f>Calcolo!$M$65*1000*(1-0.19)</f>
        <v>1070236.1465325002</v>
      </c>
      <c r="N32" s="289">
        <f>Calcolo!$M$65*1000*(1-0.19)</f>
        <v>1070236.1465325002</v>
      </c>
      <c r="O32" s="289">
        <f>Calcolo!$M$65*1000*(1-0.19)</f>
        <v>1070236.1465325002</v>
      </c>
      <c r="P32" s="289">
        <f>Calcolo!$M$65*1000*(1-0.19)</f>
        <v>1070236.1465325002</v>
      </c>
      <c r="Q32" s="289">
        <f>Calcolo!$M$65*1000*(1-0.19)</f>
        <v>1070236.1465325002</v>
      </c>
      <c r="R32" s="289">
        <f>Calcolo!$M$65*1000*(1-0.19)</f>
        <v>1070236.1465325002</v>
      </c>
      <c r="S32" s="289">
        <f>Calcolo!$M$65*1000*(1-0.19)</f>
        <v>1070236.1465325002</v>
      </c>
      <c r="T32" s="289">
        <f>Calcolo!$M$65*1000*(1-0.19)</f>
        <v>1070236.1465325002</v>
      </c>
      <c r="U32" s="289">
        <f>Calcolo!$M$65*1000*(1-0.19)</f>
        <v>1070236.1465325002</v>
      </c>
      <c r="V32" s="289">
        <f>Calcolo!$M$65*1000*(1-0.19)</f>
        <v>1070236.1465325002</v>
      </c>
      <c r="W32" s="289">
        <f>Calcolo!$M$65*1000*(1-0.19)</f>
        <v>1070236.1465325002</v>
      </c>
      <c r="X32" s="289">
        <f>Calcolo!$M$65*1000*(1-0.19)</f>
        <v>1070236.1465325002</v>
      </c>
      <c r="Y32" s="289">
        <f>Calcolo!$M$65*1000*(1-0.19)</f>
        <v>1070236.1465325002</v>
      </c>
      <c r="Z32" s="289">
        <f>Calcolo!$M$65*1000*(1-0.19)</f>
        <v>1070236.1465325002</v>
      </c>
      <c r="AA32" s="289">
        <f>Calcolo!$M$65*1000*(1-0.19)</f>
        <v>1070236.1465325002</v>
      </c>
      <c r="AB32" s="289">
        <f>Calcolo!$M$65*1000*(1-0.19)</f>
        <v>1070236.1465325002</v>
      </c>
      <c r="AC32" s="289">
        <f>Calcolo!$M$65*1000*(1-0.19)</f>
        <v>1070236.1465325002</v>
      </c>
      <c r="AD32" s="289">
        <f>Calcolo!$M$65*1000*(1-0.19)</f>
        <v>1070236.1465325002</v>
      </c>
      <c r="AF32" s="218"/>
    </row>
    <row r="33" spans="1:32">
      <c r="A33" s="249"/>
      <c r="B33" s="249"/>
      <c r="C33" s="249"/>
      <c r="D33" s="262"/>
      <c r="E33" s="256"/>
      <c r="F33" s="252"/>
      <c r="G33" s="252"/>
      <c r="H33" s="252"/>
      <c r="I33" s="252"/>
      <c r="J33" s="252"/>
      <c r="K33" s="252"/>
      <c r="L33" s="252"/>
      <c r="M33" s="252"/>
      <c r="N33" s="252"/>
      <c r="O33" s="252"/>
      <c r="P33" s="252"/>
      <c r="Q33" s="252"/>
      <c r="R33" s="252"/>
      <c r="S33" s="252"/>
      <c r="T33" s="252"/>
      <c r="U33" s="252"/>
      <c r="V33" s="252"/>
      <c r="W33" s="252"/>
      <c r="X33" s="252"/>
      <c r="Y33" s="252"/>
      <c r="Z33" s="252"/>
      <c r="AA33" s="252"/>
      <c r="AB33" s="252"/>
      <c r="AC33" s="252"/>
      <c r="AD33" s="252"/>
      <c r="AE33" s="252"/>
      <c r="AF33" s="218"/>
    </row>
    <row r="34" spans="1:32">
      <c r="A34" s="249" t="s">
        <v>229</v>
      </c>
      <c r="B34" s="230"/>
      <c r="C34" s="263"/>
      <c r="D34" s="255">
        <f>0.15</f>
        <v>0.15</v>
      </c>
      <c r="E34" s="256" t="s">
        <v>179</v>
      </c>
      <c r="F34" s="255">
        <f>$D$34</f>
        <v>0.15</v>
      </c>
      <c r="G34" s="255">
        <f t="shared" ref="G34:AD34" si="5">$D$34</f>
        <v>0.15</v>
      </c>
      <c r="H34" s="255">
        <f t="shared" si="5"/>
        <v>0.15</v>
      </c>
      <c r="I34" s="255">
        <f t="shared" si="5"/>
        <v>0.15</v>
      </c>
      <c r="J34" s="255">
        <f t="shared" si="5"/>
        <v>0.15</v>
      </c>
      <c r="K34" s="255">
        <f t="shared" si="5"/>
        <v>0.15</v>
      </c>
      <c r="L34" s="255">
        <f t="shared" si="5"/>
        <v>0.15</v>
      </c>
      <c r="M34" s="255">
        <f t="shared" si="5"/>
        <v>0.15</v>
      </c>
      <c r="N34" s="255">
        <f t="shared" si="5"/>
        <v>0.15</v>
      </c>
      <c r="O34" s="255">
        <f t="shared" si="5"/>
        <v>0.15</v>
      </c>
      <c r="P34" s="255">
        <f t="shared" si="5"/>
        <v>0.15</v>
      </c>
      <c r="Q34" s="255">
        <f t="shared" si="5"/>
        <v>0.15</v>
      </c>
      <c r="R34" s="255">
        <f t="shared" si="5"/>
        <v>0.15</v>
      </c>
      <c r="S34" s="255">
        <f t="shared" si="5"/>
        <v>0.15</v>
      </c>
      <c r="T34" s="255">
        <f t="shared" si="5"/>
        <v>0.15</v>
      </c>
      <c r="U34" s="255">
        <f t="shared" si="5"/>
        <v>0.15</v>
      </c>
      <c r="V34" s="255">
        <f t="shared" si="5"/>
        <v>0.15</v>
      </c>
      <c r="W34" s="255">
        <f t="shared" si="5"/>
        <v>0.15</v>
      </c>
      <c r="X34" s="255">
        <f t="shared" si="5"/>
        <v>0.15</v>
      </c>
      <c r="Y34" s="255">
        <f t="shared" si="5"/>
        <v>0.15</v>
      </c>
      <c r="Z34" s="255">
        <f t="shared" si="5"/>
        <v>0.15</v>
      </c>
      <c r="AA34" s="255">
        <f t="shared" si="5"/>
        <v>0.15</v>
      </c>
      <c r="AB34" s="255">
        <f t="shared" si="5"/>
        <v>0.15</v>
      </c>
      <c r="AC34" s="255">
        <f t="shared" si="5"/>
        <v>0.15</v>
      </c>
      <c r="AD34" s="255">
        <f t="shared" si="5"/>
        <v>0.15</v>
      </c>
      <c r="AE34" s="252"/>
      <c r="AF34" s="218"/>
    </row>
    <row r="35" spans="1:32">
      <c r="A35" s="249"/>
      <c r="B35" s="230"/>
      <c r="C35" s="263"/>
      <c r="D35" s="255"/>
      <c r="E35" s="256"/>
      <c r="F35" s="255"/>
      <c r="G35" s="255"/>
      <c r="H35" s="255"/>
      <c r="I35" s="255"/>
      <c r="J35" s="255"/>
      <c r="K35" s="255"/>
      <c r="L35" s="255"/>
      <c r="M35" s="255"/>
      <c r="N35" s="255"/>
      <c r="O35" s="255"/>
      <c r="P35" s="255"/>
      <c r="Q35" s="255"/>
      <c r="R35" s="255"/>
      <c r="S35" s="255"/>
      <c r="T35" s="255"/>
      <c r="U35" s="255"/>
      <c r="V35" s="255"/>
      <c r="W35" s="255"/>
      <c r="X35" s="255"/>
      <c r="Y35" s="255"/>
      <c r="Z35" s="255"/>
      <c r="AA35" s="255"/>
      <c r="AB35" s="255"/>
      <c r="AC35" s="255"/>
      <c r="AD35" s="255"/>
      <c r="AE35" s="252"/>
      <c r="AF35" s="218"/>
    </row>
    <row r="36" spans="1:32">
      <c r="A36" s="249" t="s">
        <v>230</v>
      </c>
      <c r="B36" s="230"/>
      <c r="C36" s="263"/>
      <c r="D36" s="255"/>
      <c r="E36" s="256" t="s">
        <v>175</v>
      </c>
      <c r="F36" s="255">
        <f>F32*F34</f>
        <v>160535.42197987501</v>
      </c>
      <c r="G36" s="255">
        <f t="shared" ref="G36:AD36" si="6">G32*G34</f>
        <v>160535.42197987501</v>
      </c>
      <c r="H36" s="255">
        <f t="shared" si="6"/>
        <v>160535.42197987501</v>
      </c>
      <c r="I36" s="255">
        <f t="shared" si="6"/>
        <v>160535.42197987501</v>
      </c>
      <c r="J36" s="255">
        <f t="shared" si="6"/>
        <v>160535.42197987501</v>
      </c>
      <c r="K36" s="255">
        <f t="shared" si="6"/>
        <v>160535.42197987501</v>
      </c>
      <c r="L36" s="255">
        <f t="shared" si="6"/>
        <v>160535.42197987501</v>
      </c>
      <c r="M36" s="255">
        <f t="shared" si="6"/>
        <v>160535.42197987501</v>
      </c>
      <c r="N36" s="255">
        <f t="shared" si="6"/>
        <v>160535.42197987501</v>
      </c>
      <c r="O36" s="255">
        <f t="shared" si="6"/>
        <v>160535.42197987501</v>
      </c>
      <c r="P36" s="255">
        <f t="shared" si="6"/>
        <v>160535.42197987501</v>
      </c>
      <c r="Q36" s="255">
        <f t="shared" si="6"/>
        <v>160535.42197987501</v>
      </c>
      <c r="R36" s="255">
        <f t="shared" si="6"/>
        <v>160535.42197987501</v>
      </c>
      <c r="S36" s="255">
        <f t="shared" si="6"/>
        <v>160535.42197987501</v>
      </c>
      <c r="T36" s="255">
        <f t="shared" si="6"/>
        <v>160535.42197987501</v>
      </c>
      <c r="U36" s="255">
        <f t="shared" si="6"/>
        <v>160535.42197987501</v>
      </c>
      <c r="V36" s="255">
        <f t="shared" si="6"/>
        <v>160535.42197987501</v>
      </c>
      <c r="W36" s="255">
        <f t="shared" si="6"/>
        <v>160535.42197987501</v>
      </c>
      <c r="X36" s="255">
        <f t="shared" si="6"/>
        <v>160535.42197987501</v>
      </c>
      <c r="Y36" s="255">
        <f t="shared" si="6"/>
        <v>160535.42197987501</v>
      </c>
      <c r="Z36" s="255">
        <f t="shared" si="6"/>
        <v>160535.42197987501</v>
      </c>
      <c r="AA36" s="255">
        <f t="shared" si="6"/>
        <v>160535.42197987501</v>
      </c>
      <c r="AB36" s="255">
        <f t="shared" si="6"/>
        <v>160535.42197987501</v>
      </c>
      <c r="AC36" s="255">
        <f t="shared" si="6"/>
        <v>160535.42197987501</v>
      </c>
      <c r="AD36" s="255">
        <f t="shared" si="6"/>
        <v>160535.42197987501</v>
      </c>
      <c r="AE36" s="252"/>
      <c r="AF36" s="218"/>
    </row>
    <row r="37" spans="1:32" ht="15" thickBot="1">
      <c r="A37" s="297"/>
      <c r="B37" s="298"/>
      <c r="C37" s="299"/>
      <c r="D37" s="300"/>
      <c r="E37" s="301"/>
      <c r="F37" s="300"/>
      <c r="G37" s="300"/>
      <c r="H37" s="300"/>
      <c r="I37" s="300"/>
      <c r="J37" s="300"/>
      <c r="K37" s="300"/>
      <c r="L37" s="300"/>
      <c r="M37" s="300"/>
      <c r="N37" s="300"/>
      <c r="O37" s="300"/>
      <c r="P37" s="300"/>
      <c r="Q37" s="300"/>
      <c r="R37" s="300"/>
      <c r="S37" s="300"/>
      <c r="T37" s="300"/>
      <c r="U37" s="300"/>
      <c r="V37" s="300"/>
      <c r="W37" s="300"/>
      <c r="X37" s="300"/>
      <c r="Y37" s="300"/>
      <c r="Z37" s="300"/>
      <c r="AA37" s="300"/>
      <c r="AB37" s="300"/>
      <c r="AC37" s="300"/>
      <c r="AD37" s="300"/>
      <c r="AE37" s="302"/>
      <c r="AF37" s="218"/>
    </row>
    <row r="38" spans="1:32">
      <c r="A38" s="303" t="s">
        <v>231</v>
      </c>
      <c r="B38" s="304"/>
      <c r="C38" s="305"/>
      <c r="D38" s="306"/>
      <c r="E38" s="256" t="s">
        <v>175</v>
      </c>
      <c r="F38" s="306">
        <f>Calcolo!$D$212</f>
        <v>33357.537166066213</v>
      </c>
      <c r="G38" s="306">
        <f>Calcolo!$D$212</f>
        <v>33357.537166066213</v>
      </c>
      <c r="H38" s="306">
        <f>Calcolo!$D$212</f>
        <v>33357.537166066213</v>
      </c>
      <c r="I38" s="306">
        <f>Calcolo!$D$212</f>
        <v>33357.537166066213</v>
      </c>
      <c r="J38" s="306">
        <f>Calcolo!$D$212</f>
        <v>33357.537166066213</v>
      </c>
      <c r="K38" s="306">
        <f>Calcolo!$D$212</f>
        <v>33357.537166066213</v>
      </c>
      <c r="L38" s="306">
        <f>Calcolo!$D$212</f>
        <v>33357.537166066213</v>
      </c>
      <c r="M38" s="306">
        <f>Calcolo!$D$212</f>
        <v>33357.537166066213</v>
      </c>
      <c r="N38" s="306">
        <f>Calcolo!$D$212</f>
        <v>33357.537166066213</v>
      </c>
      <c r="O38" s="306">
        <f>Calcolo!$D$212</f>
        <v>33357.537166066213</v>
      </c>
      <c r="P38" s="306">
        <f>Calcolo!$D$212</f>
        <v>33357.537166066213</v>
      </c>
      <c r="Q38" s="306">
        <f>Calcolo!$D$212</f>
        <v>33357.537166066213</v>
      </c>
      <c r="R38" s="306">
        <f>Calcolo!$D$212</f>
        <v>33357.537166066213</v>
      </c>
      <c r="S38" s="306">
        <f>Calcolo!$D$212</f>
        <v>33357.537166066213</v>
      </c>
      <c r="T38" s="306">
        <f>Calcolo!$D$212</f>
        <v>33357.537166066213</v>
      </c>
      <c r="U38" s="306"/>
      <c r="V38" s="306"/>
      <c r="W38" s="306"/>
      <c r="X38" s="306"/>
      <c r="Y38" s="306"/>
      <c r="Z38" s="306"/>
      <c r="AA38" s="306"/>
      <c r="AB38" s="306"/>
      <c r="AC38" s="306"/>
      <c r="AD38" s="306"/>
      <c r="AE38" s="307"/>
      <c r="AF38" s="218"/>
    </row>
    <row r="39" spans="1:32" ht="15" thickBot="1">
      <c r="A39" s="332"/>
      <c r="B39" s="333"/>
      <c r="C39" s="334"/>
      <c r="D39" s="335"/>
      <c r="E39" s="336"/>
      <c r="F39" s="335"/>
      <c r="G39" s="335"/>
      <c r="H39" s="335"/>
      <c r="I39" s="335"/>
      <c r="J39" s="335"/>
      <c r="K39" s="335"/>
      <c r="L39" s="335"/>
      <c r="M39" s="335"/>
      <c r="N39" s="335"/>
      <c r="O39" s="335"/>
      <c r="P39" s="335"/>
      <c r="Q39" s="335"/>
      <c r="R39" s="335"/>
      <c r="S39" s="335"/>
      <c r="T39" s="335"/>
      <c r="U39" s="335"/>
      <c r="V39" s="335"/>
      <c r="W39" s="335"/>
      <c r="X39" s="335"/>
      <c r="Y39" s="335"/>
      <c r="Z39" s="335"/>
      <c r="AA39" s="335"/>
      <c r="AB39" s="335"/>
      <c r="AC39" s="335"/>
      <c r="AD39" s="335"/>
      <c r="AE39" s="337"/>
      <c r="AF39" s="218"/>
    </row>
    <row r="40" spans="1:32">
      <c r="A40" s="303" t="s">
        <v>243</v>
      </c>
      <c r="B40" s="304"/>
      <c r="C40" s="305"/>
      <c r="D40" s="306">
        <v>21.93</v>
      </c>
      <c r="E40" s="295"/>
      <c r="F40" s="306">
        <f>F32*$D$40/1000</f>
        <v>23470.278693457731</v>
      </c>
      <c r="G40" s="306">
        <f t="shared" ref="G40:AD40" si="7">G32*$D$40/1000</f>
        <v>23470.278693457731</v>
      </c>
      <c r="H40" s="306">
        <f t="shared" si="7"/>
        <v>23470.278693457731</v>
      </c>
      <c r="I40" s="306">
        <f t="shared" si="7"/>
        <v>23470.278693457731</v>
      </c>
      <c r="J40" s="306">
        <f t="shared" si="7"/>
        <v>23470.278693457731</v>
      </c>
      <c r="K40" s="306">
        <f t="shared" si="7"/>
        <v>23470.278693457731</v>
      </c>
      <c r="L40" s="306">
        <f t="shared" si="7"/>
        <v>23470.278693457731</v>
      </c>
      <c r="M40" s="306">
        <f t="shared" si="7"/>
        <v>23470.278693457731</v>
      </c>
      <c r="N40" s="306">
        <f t="shared" si="7"/>
        <v>23470.278693457731</v>
      </c>
      <c r="O40" s="306">
        <f t="shared" si="7"/>
        <v>23470.278693457731</v>
      </c>
      <c r="P40" s="306">
        <f t="shared" si="7"/>
        <v>23470.278693457731</v>
      </c>
      <c r="Q40" s="306">
        <f t="shared" si="7"/>
        <v>23470.278693457731</v>
      </c>
      <c r="R40" s="306">
        <f t="shared" si="7"/>
        <v>23470.278693457731</v>
      </c>
      <c r="S40" s="306">
        <f t="shared" si="7"/>
        <v>23470.278693457731</v>
      </c>
      <c r="T40" s="306">
        <f t="shared" si="7"/>
        <v>23470.278693457731</v>
      </c>
      <c r="U40" s="306">
        <f t="shared" si="7"/>
        <v>23470.278693457731</v>
      </c>
      <c r="V40" s="306">
        <f t="shared" si="7"/>
        <v>23470.278693457731</v>
      </c>
      <c r="W40" s="306">
        <f t="shared" si="7"/>
        <v>23470.278693457731</v>
      </c>
      <c r="X40" s="306">
        <f t="shared" si="7"/>
        <v>23470.278693457731</v>
      </c>
      <c r="Y40" s="306">
        <f t="shared" si="7"/>
        <v>23470.278693457731</v>
      </c>
      <c r="Z40" s="306">
        <f t="shared" si="7"/>
        <v>23470.278693457731</v>
      </c>
      <c r="AA40" s="306">
        <f t="shared" si="7"/>
        <v>23470.278693457731</v>
      </c>
      <c r="AB40" s="306">
        <f t="shared" si="7"/>
        <v>23470.278693457731</v>
      </c>
      <c r="AC40" s="306">
        <f t="shared" si="7"/>
        <v>23470.278693457731</v>
      </c>
      <c r="AD40" s="306">
        <f t="shared" si="7"/>
        <v>23470.278693457731</v>
      </c>
      <c r="AE40" s="307"/>
      <c r="AF40" s="218"/>
    </row>
    <row r="41" spans="1:32">
      <c r="A41" s="291" t="s">
        <v>244</v>
      </c>
      <c r="B41" s="292"/>
      <c r="C41" s="293"/>
      <c r="D41" s="294">
        <f>B3*20.66</f>
        <v>7623.54</v>
      </c>
      <c r="E41" s="295"/>
      <c r="F41" s="294"/>
      <c r="G41" s="294"/>
      <c r="H41" s="294"/>
      <c r="I41" s="294"/>
      <c r="J41" s="294"/>
      <c r="K41" s="294"/>
      <c r="L41" s="294"/>
      <c r="M41" s="294"/>
      <c r="N41" s="294"/>
      <c r="O41" s="294"/>
      <c r="P41" s="294"/>
      <c r="Q41" s="294"/>
      <c r="R41" s="294"/>
      <c r="S41" s="294"/>
      <c r="T41" s="294"/>
      <c r="U41" s="294"/>
      <c r="V41" s="294"/>
      <c r="W41" s="294"/>
      <c r="X41" s="294"/>
      <c r="Y41" s="294"/>
      <c r="Z41" s="294"/>
      <c r="AA41" s="294"/>
      <c r="AB41" s="294"/>
      <c r="AC41" s="294"/>
      <c r="AD41" s="294"/>
      <c r="AE41" s="307"/>
      <c r="AF41" s="218"/>
    </row>
    <row r="42" spans="1:32">
      <c r="A42" s="249"/>
      <c r="B42" s="249"/>
      <c r="C42" s="249"/>
      <c r="D42" s="262"/>
      <c r="E42" s="256"/>
      <c r="F42" s="252"/>
      <c r="G42" s="252"/>
      <c r="H42" s="252"/>
      <c r="I42" s="252"/>
      <c r="J42" s="252"/>
      <c r="K42" s="252"/>
      <c r="L42" s="252"/>
      <c r="M42" s="252"/>
      <c r="N42" s="252"/>
      <c r="O42" s="252"/>
      <c r="P42" s="252"/>
      <c r="Q42" s="252"/>
      <c r="R42" s="252"/>
      <c r="S42" s="252"/>
      <c r="T42" s="252"/>
      <c r="U42" s="252"/>
      <c r="V42" s="252"/>
      <c r="W42" s="252"/>
      <c r="X42" s="252"/>
      <c r="Y42" s="252"/>
      <c r="Z42" s="252"/>
      <c r="AA42" s="252"/>
      <c r="AB42" s="252"/>
      <c r="AC42" s="252"/>
      <c r="AD42" s="252"/>
      <c r="AE42" s="296"/>
      <c r="AF42" s="218"/>
    </row>
    <row r="43" spans="1:32">
      <c r="A43" s="249"/>
      <c r="B43" s="249"/>
      <c r="C43" s="249"/>
      <c r="D43" s="262"/>
      <c r="E43" s="256"/>
      <c r="F43" s="252"/>
      <c r="G43" s="252"/>
      <c r="H43" s="252"/>
      <c r="I43" s="252"/>
      <c r="J43" s="252"/>
      <c r="K43" s="252"/>
      <c r="L43" s="252"/>
      <c r="M43" s="252"/>
      <c r="N43" s="252"/>
      <c r="O43" s="252"/>
      <c r="P43" s="252"/>
      <c r="Q43" s="252"/>
      <c r="R43" s="252"/>
      <c r="S43" s="252"/>
      <c r="T43" s="252"/>
      <c r="U43" s="252"/>
      <c r="V43" s="252"/>
      <c r="W43" s="252"/>
      <c r="X43" s="252"/>
      <c r="Y43" s="252"/>
      <c r="Z43" s="252"/>
      <c r="AA43" s="252"/>
      <c r="AB43" s="252"/>
      <c r="AC43" s="252"/>
      <c r="AD43" s="252"/>
      <c r="AE43" s="252"/>
      <c r="AF43" s="218"/>
    </row>
    <row r="44" spans="1:32">
      <c r="A44" s="249" t="s">
        <v>204</v>
      </c>
      <c r="B44" s="249"/>
      <c r="C44" s="249"/>
      <c r="D44" s="249"/>
      <c r="E44" s="259"/>
      <c r="F44" s="260">
        <v>0</v>
      </c>
      <c r="G44" s="260">
        <f t="shared" ref="G44:AD44" si="8">+$B$6</f>
        <v>5.0000000000000001E-3</v>
      </c>
      <c r="H44" s="260">
        <f t="shared" si="8"/>
        <v>5.0000000000000001E-3</v>
      </c>
      <c r="I44" s="260">
        <f t="shared" si="8"/>
        <v>5.0000000000000001E-3</v>
      </c>
      <c r="J44" s="260">
        <f t="shared" si="8"/>
        <v>5.0000000000000001E-3</v>
      </c>
      <c r="K44" s="260">
        <f t="shared" si="8"/>
        <v>5.0000000000000001E-3</v>
      </c>
      <c r="L44" s="260">
        <f t="shared" si="8"/>
        <v>5.0000000000000001E-3</v>
      </c>
      <c r="M44" s="260">
        <f t="shared" si="8"/>
        <v>5.0000000000000001E-3</v>
      </c>
      <c r="N44" s="260">
        <f t="shared" si="8"/>
        <v>5.0000000000000001E-3</v>
      </c>
      <c r="O44" s="260">
        <f t="shared" si="8"/>
        <v>5.0000000000000001E-3</v>
      </c>
      <c r="P44" s="260">
        <f t="shared" si="8"/>
        <v>5.0000000000000001E-3</v>
      </c>
      <c r="Q44" s="260">
        <f t="shared" si="8"/>
        <v>5.0000000000000001E-3</v>
      </c>
      <c r="R44" s="260">
        <f t="shared" si="8"/>
        <v>5.0000000000000001E-3</v>
      </c>
      <c r="S44" s="260">
        <f t="shared" si="8"/>
        <v>5.0000000000000001E-3</v>
      </c>
      <c r="T44" s="260">
        <f t="shared" si="8"/>
        <v>5.0000000000000001E-3</v>
      </c>
      <c r="U44" s="260">
        <f t="shared" si="8"/>
        <v>5.0000000000000001E-3</v>
      </c>
      <c r="V44" s="260">
        <f t="shared" si="8"/>
        <v>5.0000000000000001E-3</v>
      </c>
      <c r="W44" s="260">
        <f t="shared" si="8"/>
        <v>5.0000000000000001E-3</v>
      </c>
      <c r="X44" s="260">
        <f t="shared" si="8"/>
        <v>5.0000000000000001E-3</v>
      </c>
      <c r="Y44" s="260">
        <f t="shared" si="8"/>
        <v>5.0000000000000001E-3</v>
      </c>
      <c r="Z44" s="260">
        <f t="shared" si="8"/>
        <v>5.0000000000000001E-3</v>
      </c>
      <c r="AA44" s="260">
        <f t="shared" si="8"/>
        <v>5.0000000000000001E-3</v>
      </c>
      <c r="AB44" s="260">
        <f t="shared" si="8"/>
        <v>5.0000000000000001E-3</v>
      </c>
      <c r="AC44" s="260">
        <f t="shared" si="8"/>
        <v>5.0000000000000001E-3</v>
      </c>
      <c r="AD44" s="260">
        <f t="shared" si="8"/>
        <v>5.0000000000000001E-3</v>
      </c>
      <c r="AE44" s="260"/>
      <c r="AF44" s="218"/>
    </row>
    <row r="45" spans="1:32">
      <c r="A45" s="249" t="s">
        <v>205</v>
      </c>
      <c r="B45" s="249"/>
      <c r="C45" s="249"/>
      <c r="D45" s="230"/>
      <c r="E45" s="249"/>
      <c r="F45" s="258">
        <v>1</v>
      </c>
      <c r="G45" s="258">
        <f t="shared" ref="G45:AD45" si="9">F45*(1+$B6)</f>
        <v>1.0049999999999999</v>
      </c>
      <c r="H45" s="258">
        <f t="shared" si="9"/>
        <v>1.0100249999999997</v>
      </c>
      <c r="I45" s="258">
        <f t="shared" si="9"/>
        <v>1.0150751249999996</v>
      </c>
      <c r="J45" s="258">
        <f t="shared" si="9"/>
        <v>1.0201505006249996</v>
      </c>
      <c r="K45" s="258">
        <f t="shared" si="9"/>
        <v>1.0252512531281244</v>
      </c>
      <c r="L45" s="258">
        <f t="shared" si="9"/>
        <v>1.0303775093937648</v>
      </c>
      <c r="M45" s="258">
        <f t="shared" si="9"/>
        <v>1.0355293969407335</v>
      </c>
      <c r="N45" s="258">
        <f t="shared" si="9"/>
        <v>1.0407070439254371</v>
      </c>
      <c r="O45" s="258">
        <f t="shared" si="9"/>
        <v>1.0459105791450642</v>
      </c>
      <c r="P45" s="258">
        <f t="shared" si="9"/>
        <v>1.0511401320407894</v>
      </c>
      <c r="Q45" s="258">
        <f t="shared" si="9"/>
        <v>1.0563958327009932</v>
      </c>
      <c r="R45" s="258">
        <f t="shared" si="9"/>
        <v>1.0616778118644981</v>
      </c>
      <c r="S45" s="258">
        <f t="shared" si="9"/>
        <v>1.0669862009238205</v>
      </c>
      <c r="T45" s="258">
        <f t="shared" si="9"/>
        <v>1.0723211319284394</v>
      </c>
      <c r="U45" s="258">
        <f t="shared" si="9"/>
        <v>1.0776827375880815</v>
      </c>
      <c r="V45" s="258">
        <f t="shared" si="9"/>
        <v>1.0830711512760218</v>
      </c>
      <c r="W45" s="258">
        <f t="shared" si="9"/>
        <v>1.0884865070324019</v>
      </c>
      <c r="X45" s="258">
        <f t="shared" si="9"/>
        <v>1.0939289395675638</v>
      </c>
      <c r="Y45" s="258">
        <f t="shared" si="9"/>
        <v>1.0993985842654015</v>
      </c>
      <c r="Z45" s="258">
        <f t="shared" si="9"/>
        <v>1.1048955771867284</v>
      </c>
      <c r="AA45" s="258">
        <f t="shared" si="9"/>
        <v>1.1104200550726619</v>
      </c>
      <c r="AB45" s="258">
        <f t="shared" si="9"/>
        <v>1.1159721553480251</v>
      </c>
      <c r="AC45" s="258">
        <f t="shared" si="9"/>
        <v>1.1215520161247652</v>
      </c>
      <c r="AD45" s="258">
        <f t="shared" si="9"/>
        <v>1.1271597762053889</v>
      </c>
      <c r="AE45" s="258"/>
      <c r="AF45" s="218"/>
    </row>
    <row r="46" spans="1:32" ht="15.6">
      <c r="A46" s="245" t="s">
        <v>206</v>
      </c>
      <c r="B46" s="246"/>
      <c r="C46" s="246"/>
      <c r="D46" s="246"/>
      <c r="E46" s="247" t="s">
        <v>175</v>
      </c>
      <c r="F46" s="264">
        <f>F30+F36+F38+F40+D41</f>
        <v>300783.07863939897</v>
      </c>
      <c r="G46" s="264">
        <f>G30+G36+G38+G40</f>
        <v>293159.53863939899</v>
      </c>
      <c r="H46" s="264">
        <f t="shared" ref="H46:AD46" si="10">H30+H36+H38+H40</f>
        <v>293159.53863939899</v>
      </c>
      <c r="I46" s="264">
        <f t="shared" si="10"/>
        <v>293159.53863939899</v>
      </c>
      <c r="J46" s="264">
        <f t="shared" si="10"/>
        <v>293159.53863939899</v>
      </c>
      <c r="K46" s="264">
        <f t="shared" si="10"/>
        <v>293159.53863939899</v>
      </c>
      <c r="L46" s="264">
        <f t="shared" si="10"/>
        <v>293159.53863939899</v>
      </c>
      <c r="M46" s="264">
        <f t="shared" si="10"/>
        <v>293159.53863939899</v>
      </c>
      <c r="N46" s="264">
        <f t="shared" si="10"/>
        <v>293159.53863939899</v>
      </c>
      <c r="O46" s="264">
        <f t="shared" si="10"/>
        <v>293159.53863939899</v>
      </c>
      <c r="P46" s="264">
        <f t="shared" si="10"/>
        <v>293159.53863939899</v>
      </c>
      <c r="Q46" s="264">
        <f t="shared" si="10"/>
        <v>293159.53863939899</v>
      </c>
      <c r="R46" s="264">
        <f t="shared" si="10"/>
        <v>293159.53863939899</v>
      </c>
      <c r="S46" s="264">
        <f t="shared" si="10"/>
        <v>293159.53863939899</v>
      </c>
      <c r="T46" s="264">
        <f t="shared" si="10"/>
        <v>293159.53863939899</v>
      </c>
      <c r="U46" s="264">
        <f t="shared" si="10"/>
        <v>259802.00147333276</v>
      </c>
      <c r="V46" s="264">
        <f t="shared" si="10"/>
        <v>259802.00147333276</v>
      </c>
      <c r="W46" s="264">
        <f t="shared" si="10"/>
        <v>259802.00147333276</v>
      </c>
      <c r="X46" s="264">
        <f t="shared" si="10"/>
        <v>259802.00147333276</v>
      </c>
      <c r="Y46" s="264">
        <f t="shared" si="10"/>
        <v>259802.00147333276</v>
      </c>
      <c r="Z46" s="264">
        <f t="shared" si="10"/>
        <v>259802.00147333276</v>
      </c>
      <c r="AA46" s="264">
        <f t="shared" si="10"/>
        <v>259802.00147333276</v>
      </c>
      <c r="AB46" s="264">
        <f t="shared" si="10"/>
        <v>259802.00147333276</v>
      </c>
      <c r="AC46" s="264">
        <f t="shared" si="10"/>
        <v>259802.00147333276</v>
      </c>
      <c r="AD46" s="264">
        <f t="shared" si="10"/>
        <v>259802.00147333276</v>
      </c>
      <c r="AE46" s="264">
        <f>SUM(F46:AD46)</f>
        <v>7003036.6343243141</v>
      </c>
      <c r="AF46" s="248"/>
    </row>
    <row r="47" spans="1:32">
      <c r="A47" s="218"/>
      <c r="B47" s="218"/>
      <c r="C47" s="218"/>
      <c r="D47" s="218"/>
      <c r="E47" s="218"/>
      <c r="F47" s="218"/>
      <c r="G47" s="218"/>
      <c r="H47" s="218"/>
      <c r="I47" s="218"/>
      <c r="J47" s="218"/>
      <c r="K47" s="218"/>
      <c r="L47" s="218"/>
      <c r="M47" s="218"/>
      <c r="N47" s="218"/>
      <c r="O47" s="218"/>
      <c r="P47" s="218"/>
      <c r="Q47" s="218"/>
      <c r="R47" s="218"/>
      <c r="S47" s="218"/>
      <c r="T47" s="218"/>
      <c r="U47" s="218"/>
      <c r="V47" s="218"/>
      <c r="W47" s="218"/>
      <c r="X47" s="218"/>
      <c r="Y47" s="218"/>
      <c r="Z47" s="218"/>
      <c r="AA47" s="218"/>
      <c r="AB47" s="218"/>
      <c r="AC47" s="218"/>
      <c r="AD47" s="218"/>
      <c r="AE47" s="218"/>
      <c r="AF47" s="218"/>
    </row>
    <row r="48" spans="1:32">
      <c r="A48" s="218" t="s">
        <v>237</v>
      </c>
      <c r="B48" s="218"/>
      <c r="C48" s="218">
        <f>Calcolo!D172*Calcolo!D182</f>
        <v>112036.92660550459</v>
      </c>
      <c r="D48" s="218"/>
      <c r="E48" s="256" t="s">
        <v>175</v>
      </c>
      <c r="F48" s="218">
        <f>$C$48*F45</f>
        <v>112036.92660550459</v>
      </c>
      <c r="G48" s="218">
        <f t="shared" ref="G48:AD48" si="11">$C$48*G45</f>
        <v>112597.1112385321</v>
      </c>
      <c r="H48" s="218">
        <f t="shared" si="11"/>
        <v>113160.09679472474</v>
      </c>
      <c r="I48" s="218">
        <f t="shared" si="11"/>
        <v>113725.89727869835</v>
      </c>
      <c r="J48" s="218">
        <f t="shared" si="11"/>
        <v>114294.52676509184</v>
      </c>
      <c r="K48" s="218">
        <f t="shared" si="11"/>
        <v>114865.99939891728</v>
      </c>
      <c r="L48" s="218">
        <f t="shared" si="11"/>
        <v>115440.32939591185</v>
      </c>
      <c r="M48" s="218">
        <f t="shared" si="11"/>
        <v>116017.53104289139</v>
      </c>
      <c r="N48" s="218">
        <f t="shared" si="11"/>
        <v>116597.61869810584</v>
      </c>
      <c r="O48" s="218">
        <f t="shared" si="11"/>
        <v>117180.60679159636</v>
      </c>
      <c r="P48" s="218">
        <f t="shared" si="11"/>
        <v>117766.50982555433</v>
      </c>
      <c r="Q48" s="218">
        <f t="shared" si="11"/>
        <v>118355.34237468208</v>
      </c>
      <c r="R48" s="218">
        <f t="shared" si="11"/>
        <v>118947.11908655548</v>
      </c>
      <c r="S48" s="218">
        <f t="shared" si="11"/>
        <v>119541.85468198825</v>
      </c>
      <c r="T48" s="218">
        <f t="shared" si="11"/>
        <v>120139.56395539816</v>
      </c>
      <c r="U48" s="218">
        <f t="shared" si="11"/>
        <v>120740.26177517515</v>
      </c>
      <c r="V48" s="218">
        <f t="shared" si="11"/>
        <v>121343.96308405101</v>
      </c>
      <c r="W48" s="218">
        <f t="shared" si="11"/>
        <v>121950.68289947127</v>
      </c>
      <c r="X48" s="218">
        <f t="shared" si="11"/>
        <v>122560.4363139686</v>
      </c>
      <c r="Y48" s="218">
        <f t="shared" si="11"/>
        <v>123173.23849553843</v>
      </c>
      <c r="Z48" s="218">
        <f t="shared" si="11"/>
        <v>123789.10468801612</v>
      </c>
      <c r="AA48" s="218">
        <f t="shared" si="11"/>
        <v>124408.0502114562</v>
      </c>
      <c r="AB48" s="218">
        <f t="shared" si="11"/>
        <v>125030.09046251346</v>
      </c>
      <c r="AC48" s="218">
        <f t="shared" si="11"/>
        <v>125655.24091482602</v>
      </c>
      <c r="AD48" s="218">
        <f t="shared" si="11"/>
        <v>126283.51711940013</v>
      </c>
      <c r="AE48" s="218">
        <f>SUM(F48:AD48)</f>
        <v>2975601.6198985684</v>
      </c>
      <c r="AF48" s="218"/>
    </row>
    <row r="49" spans="1:32">
      <c r="A49" s="218"/>
      <c r="B49" s="218"/>
      <c r="C49" s="218"/>
      <c r="D49" s="218"/>
      <c r="E49" s="218"/>
      <c r="F49" s="218"/>
      <c r="G49" s="218"/>
      <c r="H49" s="218"/>
      <c r="I49" s="218"/>
      <c r="J49" s="218"/>
      <c r="K49" s="218"/>
      <c r="L49" s="218"/>
      <c r="M49" s="218"/>
      <c r="N49" s="218"/>
      <c r="O49" s="218"/>
      <c r="P49" s="218"/>
      <c r="Q49" s="218"/>
      <c r="R49" s="218"/>
      <c r="S49" s="218"/>
      <c r="T49" s="218"/>
      <c r="U49" s="218"/>
      <c r="V49" s="218"/>
      <c r="W49" s="218"/>
      <c r="X49" s="218"/>
      <c r="Y49" s="218"/>
      <c r="Z49" s="218"/>
      <c r="AA49" s="218"/>
      <c r="AB49" s="218"/>
      <c r="AC49" s="218"/>
      <c r="AD49" s="218"/>
      <c r="AE49" s="218"/>
      <c r="AF49" s="218"/>
    </row>
    <row r="50" spans="1:32">
      <c r="A50" s="249" t="s">
        <v>234</v>
      </c>
      <c r="B50" s="230"/>
      <c r="C50" s="265">
        <f>Calcolo!G139*F26</f>
        <v>11843.172</v>
      </c>
      <c r="D50" s="287"/>
      <c r="E50" s="256" t="s">
        <v>175</v>
      </c>
      <c r="F50" s="252">
        <f t="shared" ref="F50:AD50" si="12">$C$50*F45</f>
        <v>11843.172</v>
      </c>
      <c r="G50" s="252">
        <f t="shared" si="12"/>
        <v>11902.387859999999</v>
      </c>
      <c r="H50" s="252">
        <f t="shared" si="12"/>
        <v>11961.899799299998</v>
      </c>
      <c r="I50" s="252">
        <f t="shared" si="12"/>
        <v>12021.709298296497</v>
      </c>
      <c r="J50" s="252">
        <f t="shared" si="12"/>
        <v>12081.817844787978</v>
      </c>
      <c r="K50" s="252">
        <f t="shared" si="12"/>
        <v>12142.226934011915</v>
      </c>
      <c r="L50" s="252">
        <f t="shared" si="12"/>
        <v>12202.938068681973</v>
      </c>
      <c r="M50" s="252">
        <f t="shared" si="12"/>
        <v>12263.952759025382</v>
      </c>
      <c r="N50" s="252">
        <f t="shared" si="12"/>
        <v>12325.272522820507</v>
      </c>
      <c r="O50" s="252">
        <f t="shared" si="12"/>
        <v>12386.89888543461</v>
      </c>
      <c r="P50" s="252">
        <f t="shared" si="12"/>
        <v>12448.83337986178</v>
      </c>
      <c r="Q50" s="252">
        <f t="shared" si="12"/>
        <v>12511.077546761087</v>
      </c>
      <c r="R50" s="252">
        <f t="shared" si="12"/>
        <v>12573.632934494892</v>
      </c>
      <c r="S50" s="252">
        <f t="shared" si="12"/>
        <v>12636.501099167364</v>
      </c>
      <c r="T50" s="252">
        <f t="shared" si="12"/>
        <v>12699.6836046632</v>
      </c>
      <c r="U50" s="252">
        <f t="shared" si="12"/>
        <v>12763.182022686515</v>
      </c>
      <c r="V50" s="252">
        <f t="shared" si="12"/>
        <v>12826.997932799946</v>
      </c>
      <c r="W50" s="252">
        <f t="shared" si="12"/>
        <v>12891.132922463947</v>
      </c>
      <c r="X50" s="252">
        <f t="shared" si="12"/>
        <v>12955.588587076263</v>
      </c>
      <c r="Y50" s="252">
        <f t="shared" si="12"/>
        <v>13020.366530011644</v>
      </c>
      <c r="Z50" s="252">
        <f t="shared" si="12"/>
        <v>13085.468362661701</v>
      </c>
      <c r="AA50" s="252">
        <f t="shared" si="12"/>
        <v>13150.895704475008</v>
      </c>
      <c r="AB50" s="252">
        <f t="shared" si="12"/>
        <v>13216.650182997382</v>
      </c>
      <c r="AC50" s="252">
        <f t="shared" si="12"/>
        <v>13282.733433912368</v>
      </c>
      <c r="AD50" s="252">
        <f t="shared" si="12"/>
        <v>13349.147101081928</v>
      </c>
      <c r="AE50" s="252">
        <f>SUM(F50:AD50)</f>
        <v>314544.16731747391</v>
      </c>
      <c r="AF50" s="218"/>
    </row>
    <row r="51" spans="1:32">
      <c r="A51" s="249" t="s">
        <v>235</v>
      </c>
      <c r="B51" s="230"/>
      <c r="C51" s="265">
        <f>C50/2</f>
        <v>5921.5860000000002</v>
      </c>
      <c r="D51" s="266"/>
      <c r="E51" s="256" t="s">
        <v>175</v>
      </c>
      <c r="F51" s="252">
        <f>$C$51*F45</f>
        <v>5921.5860000000002</v>
      </c>
      <c r="G51" s="252">
        <f t="shared" ref="G51:AD51" si="13">$C$51*G45</f>
        <v>5951.1939299999995</v>
      </c>
      <c r="H51" s="252">
        <f t="shared" si="13"/>
        <v>5980.9498996499988</v>
      </c>
      <c r="I51" s="252">
        <f t="shared" si="13"/>
        <v>6010.8546491482484</v>
      </c>
      <c r="J51" s="252">
        <f t="shared" si="13"/>
        <v>6040.9089223939891</v>
      </c>
      <c r="K51" s="252">
        <f t="shared" si="13"/>
        <v>6071.1134670059573</v>
      </c>
      <c r="L51" s="252">
        <f t="shared" si="13"/>
        <v>6101.4690343409866</v>
      </c>
      <c r="M51" s="252">
        <f t="shared" si="13"/>
        <v>6131.976379512691</v>
      </c>
      <c r="N51" s="252">
        <f t="shared" si="13"/>
        <v>6162.6362614102536</v>
      </c>
      <c r="O51" s="252">
        <f t="shared" si="13"/>
        <v>6193.4494427173049</v>
      </c>
      <c r="P51" s="252">
        <f t="shared" si="13"/>
        <v>6224.4166899308902</v>
      </c>
      <c r="Q51" s="252">
        <f t="shared" si="13"/>
        <v>6255.5387733805437</v>
      </c>
      <c r="R51" s="252">
        <f t="shared" si="13"/>
        <v>6286.8164672474459</v>
      </c>
      <c r="S51" s="252">
        <f t="shared" si="13"/>
        <v>6318.2505495836822</v>
      </c>
      <c r="T51" s="252">
        <f t="shared" si="13"/>
        <v>6349.8418023315999</v>
      </c>
      <c r="U51" s="252">
        <f t="shared" si="13"/>
        <v>6381.5910113432574</v>
      </c>
      <c r="V51" s="252">
        <f t="shared" si="13"/>
        <v>6413.4989663999731</v>
      </c>
      <c r="W51" s="252">
        <f t="shared" si="13"/>
        <v>6445.5664612319733</v>
      </c>
      <c r="X51" s="252">
        <f t="shared" si="13"/>
        <v>6477.7942935381316</v>
      </c>
      <c r="Y51" s="252">
        <f t="shared" si="13"/>
        <v>6510.1832650058222</v>
      </c>
      <c r="Z51" s="252">
        <f t="shared" si="13"/>
        <v>6542.7341813308503</v>
      </c>
      <c r="AA51" s="252">
        <f t="shared" si="13"/>
        <v>6575.4478522375039</v>
      </c>
      <c r="AB51" s="252">
        <f t="shared" si="13"/>
        <v>6608.3250914986911</v>
      </c>
      <c r="AC51" s="252">
        <f t="shared" si="13"/>
        <v>6641.3667169561841</v>
      </c>
      <c r="AD51" s="252">
        <f t="shared" si="13"/>
        <v>6674.5735505409639</v>
      </c>
      <c r="AE51" s="252">
        <f>SUM(F51:AD51)</f>
        <v>157272.08365873696</v>
      </c>
      <c r="AF51" s="218"/>
    </row>
    <row r="52" spans="1:32">
      <c r="A52" s="249" t="s">
        <v>207</v>
      </c>
      <c r="B52" s="230"/>
      <c r="C52" s="265">
        <v>1500</v>
      </c>
      <c r="D52" s="266"/>
      <c r="E52" s="256" t="s">
        <v>175</v>
      </c>
      <c r="F52" s="252">
        <f>$C$52*F45</f>
        <v>1500</v>
      </c>
      <c r="G52" s="252">
        <f t="shared" ref="G52:AD52" si="14">$C$52*G45</f>
        <v>1507.4999999999998</v>
      </c>
      <c r="H52" s="252">
        <f t="shared" si="14"/>
        <v>1515.0374999999997</v>
      </c>
      <c r="I52" s="252">
        <f t="shared" si="14"/>
        <v>1522.6126874999995</v>
      </c>
      <c r="J52" s="252">
        <f t="shared" si="14"/>
        <v>1530.2257509374992</v>
      </c>
      <c r="K52" s="252">
        <f t="shared" si="14"/>
        <v>1537.8768796921865</v>
      </c>
      <c r="L52" s="252">
        <f t="shared" si="14"/>
        <v>1545.5662640906473</v>
      </c>
      <c r="M52" s="252">
        <f t="shared" si="14"/>
        <v>1553.2940954111002</v>
      </c>
      <c r="N52" s="252">
        <f t="shared" si="14"/>
        <v>1561.0605658881557</v>
      </c>
      <c r="O52" s="252">
        <f t="shared" si="14"/>
        <v>1568.8658687175964</v>
      </c>
      <c r="P52" s="252">
        <f t="shared" si="14"/>
        <v>1576.710198061184</v>
      </c>
      <c r="Q52" s="252">
        <f t="shared" si="14"/>
        <v>1584.5937490514898</v>
      </c>
      <c r="R52" s="252">
        <f t="shared" si="14"/>
        <v>1592.5167177967471</v>
      </c>
      <c r="S52" s="252">
        <f t="shared" si="14"/>
        <v>1600.4793013857307</v>
      </c>
      <c r="T52" s="252">
        <f t="shared" si="14"/>
        <v>1608.481697892659</v>
      </c>
      <c r="U52" s="252">
        <f t="shared" si="14"/>
        <v>1616.5241063821222</v>
      </c>
      <c r="V52" s="252">
        <f t="shared" si="14"/>
        <v>1624.6067269140328</v>
      </c>
      <c r="W52" s="252">
        <f t="shared" si="14"/>
        <v>1632.7297605486028</v>
      </c>
      <c r="X52" s="252">
        <f t="shared" si="14"/>
        <v>1640.8934093513456</v>
      </c>
      <c r="Y52" s="252">
        <f t="shared" si="14"/>
        <v>1649.0978763981022</v>
      </c>
      <c r="Z52" s="252">
        <f t="shared" si="14"/>
        <v>1657.3433657800927</v>
      </c>
      <c r="AA52" s="252">
        <f t="shared" si="14"/>
        <v>1665.630082608993</v>
      </c>
      <c r="AB52" s="252">
        <f t="shared" si="14"/>
        <v>1673.9582330220376</v>
      </c>
      <c r="AC52" s="252">
        <f t="shared" si="14"/>
        <v>1682.3280241871478</v>
      </c>
      <c r="AD52" s="252">
        <f t="shared" si="14"/>
        <v>1690.7396643080833</v>
      </c>
      <c r="AE52" s="252">
        <f>SUM(F52:AD52)</f>
        <v>39838.672525925562</v>
      </c>
      <c r="AF52" s="218"/>
    </row>
    <row r="53" spans="1:32">
      <c r="A53" s="249"/>
      <c r="B53" s="230"/>
      <c r="C53" s="265"/>
      <c r="D53" s="267"/>
      <c r="E53" s="256"/>
      <c r="F53" s="252"/>
      <c r="G53" s="252"/>
      <c r="H53" s="252"/>
      <c r="I53" s="252"/>
      <c r="J53" s="252"/>
      <c r="K53" s="252"/>
      <c r="L53" s="252"/>
      <c r="M53" s="252"/>
      <c r="N53" s="252"/>
      <c r="O53" s="252"/>
      <c r="P53" s="252"/>
      <c r="Q53" s="252"/>
      <c r="R53" s="252"/>
      <c r="S53" s="252"/>
      <c r="T53" s="252"/>
      <c r="U53" s="252"/>
      <c r="V53" s="252"/>
      <c r="W53" s="252"/>
      <c r="X53" s="252"/>
      <c r="Y53" s="252"/>
      <c r="Z53" s="252"/>
      <c r="AA53" s="252"/>
      <c r="AB53" s="252"/>
      <c r="AC53" s="252"/>
      <c r="AD53" s="252"/>
      <c r="AE53" s="252"/>
      <c r="AF53" s="218"/>
    </row>
    <row r="54" spans="1:32" ht="15.6">
      <c r="A54" s="245" t="s">
        <v>208</v>
      </c>
      <c r="B54" s="246"/>
      <c r="C54" s="246"/>
      <c r="D54" s="246"/>
      <c r="E54" s="247" t="s">
        <v>175</v>
      </c>
      <c r="F54" s="264">
        <f>SUM(F48:F53)</f>
        <v>131301.68460550459</v>
      </c>
      <c r="G54" s="264">
        <f t="shared" ref="G54:AD54" si="15">SUM(G48:G53)</f>
        <v>131958.19302853209</v>
      </c>
      <c r="H54" s="264">
        <f t="shared" si="15"/>
        <v>132617.98399367474</v>
      </c>
      <c r="I54" s="264">
        <f t="shared" si="15"/>
        <v>133281.07391364308</v>
      </c>
      <c r="J54" s="264">
        <f t="shared" si="15"/>
        <v>133947.47928321132</v>
      </c>
      <c r="K54" s="264">
        <f t="shared" si="15"/>
        <v>134617.21667962734</v>
      </c>
      <c r="L54" s="264">
        <f t="shared" si="15"/>
        <v>135290.30276302545</v>
      </c>
      <c r="M54" s="264">
        <f t="shared" si="15"/>
        <v>135966.75427684057</v>
      </c>
      <c r="N54" s="264">
        <f t="shared" si="15"/>
        <v>136646.58804822474</v>
      </c>
      <c r="O54" s="264">
        <f t="shared" si="15"/>
        <v>137329.82098846589</v>
      </c>
      <c r="P54" s="264">
        <f t="shared" si="15"/>
        <v>138016.47009340819</v>
      </c>
      <c r="Q54" s="264">
        <f t="shared" si="15"/>
        <v>138706.55244387517</v>
      </c>
      <c r="R54" s="264">
        <f t="shared" si="15"/>
        <v>139400.08520609455</v>
      </c>
      <c r="S54" s="264">
        <f t="shared" si="15"/>
        <v>140097.08563212503</v>
      </c>
      <c r="T54" s="264">
        <f t="shared" si="15"/>
        <v>140797.57106028561</v>
      </c>
      <c r="U54" s="264">
        <f t="shared" si="15"/>
        <v>141501.55891558705</v>
      </c>
      <c r="V54" s="264">
        <f t="shared" si="15"/>
        <v>142209.06671016497</v>
      </c>
      <c r="W54" s="264">
        <f t="shared" si="15"/>
        <v>142920.11204371578</v>
      </c>
      <c r="X54" s="264">
        <f t="shared" si="15"/>
        <v>143634.71260393437</v>
      </c>
      <c r="Y54" s="264">
        <f t="shared" si="15"/>
        <v>144352.88616695401</v>
      </c>
      <c r="Z54" s="264">
        <f t="shared" si="15"/>
        <v>145074.65059778877</v>
      </c>
      <c r="AA54" s="264">
        <f t="shared" si="15"/>
        <v>145800.02385077768</v>
      </c>
      <c r="AB54" s="264">
        <f t="shared" si="15"/>
        <v>146529.02397003159</v>
      </c>
      <c r="AC54" s="264">
        <f t="shared" si="15"/>
        <v>147261.66908988173</v>
      </c>
      <c r="AD54" s="264">
        <f t="shared" si="15"/>
        <v>147997.97743533109</v>
      </c>
      <c r="AE54" s="264">
        <f>SUM(F54:AD54)</f>
        <v>3487256.5434007058</v>
      </c>
      <c r="AF54" s="248"/>
    </row>
    <row r="55" spans="1:32">
      <c r="A55" s="218"/>
      <c r="B55" s="218"/>
      <c r="C55" s="218"/>
      <c r="D55" s="218"/>
      <c r="E55" s="218"/>
      <c r="F55" s="218"/>
      <c r="G55" s="218"/>
      <c r="H55" s="218"/>
      <c r="I55" s="218"/>
      <c r="J55" s="218"/>
      <c r="K55" s="218"/>
      <c r="L55" s="218"/>
      <c r="M55" s="218"/>
      <c r="N55" s="218"/>
      <c r="O55" s="218"/>
      <c r="P55" s="218"/>
      <c r="Q55" s="218"/>
      <c r="R55" s="218"/>
      <c r="S55" s="218"/>
      <c r="T55" s="218"/>
      <c r="U55" s="218"/>
      <c r="V55" s="218"/>
      <c r="W55" s="218"/>
      <c r="X55" s="218"/>
      <c r="Y55" s="218"/>
      <c r="Z55" s="218"/>
      <c r="AA55" s="218"/>
      <c r="AB55" s="218"/>
      <c r="AC55" s="218"/>
      <c r="AD55" s="218"/>
      <c r="AE55" s="218"/>
      <c r="AF55" s="218"/>
    </row>
    <row r="56" spans="1:32" ht="15.6">
      <c r="A56" s="245" t="s">
        <v>209</v>
      </c>
      <c r="B56" s="246"/>
      <c r="C56" s="246"/>
      <c r="D56" s="246"/>
      <c r="E56" s="247" t="s">
        <v>175</v>
      </c>
      <c r="F56" s="264">
        <f t="shared" ref="F56:AD56" si="16">F46-F54</f>
        <v>169481.39403389438</v>
      </c>
      <c r="G56" s="264">
        <f t="shared" si="16"/>
        <v>161201.34561086691</v>
      </c>
      <c r="H56" s="264">
        <f t="shared" si="16"/>
        <v>160541.55464572425</v>
      </c>
      <c r="I56" s="264">
        <f t="shared" si="16"/>
        <v>159878.46472575591</v>
      </c>
      <c r="J56" s="264">
        <f t="shared" si="16"/>
        <v>159212.05935618767</v>
      </c>
      <c r="K56" s="264">
        <f t="shared" si="16"/>
        <v>158542.32195977165</v>
      </c>
      <c r="L56" s="264">
        <f t="shared" si="16"/>
        <v>157869.23587637354</v>
      </c>
      <c r="M56" s="264">
        <f t="shared" si="16"/>
        <v>157192.78436255842</v>
      </c>
      <c r="N56" s="264">
        <f t="shared" si="16"/>
        <v>156512.95059117425</v>
      </c>
      <c r="O56" s="264">
        <f t="shared" si="16"/>
        <v>155829.7176509331</v>
      </c>
      <c r="P56" s="264">
        <f t="shared" si="16"/>
        <v>155143.0685459908</v>
      </c>
      <c r="Q56" s="264">
        <f t="shared" si="16"/>
        <v>154452.98619552382</v>
      </c>
      <c r="R56" s="264">
        <f t="shared" si="16"/>
        <v>153759.45343330444</v>
      </c>
      <c r="S56" s="264">
        <f t="shared" si="16"/>
        <v>153062.45300727396</v>
      </c>
      <c r="T56" s="264">
        <f t="shared" si="16"/>
        <v>152361.96757911338</v>
      </c>
      <c r="U56" s="264">
        <f t="shared" si="16"/>
        <v>118300.4425577457</v>
      </c>
      <c r="V56" s="264">
        <f t="shared" si="16"/>
        <v>117592.93476316778</v>
      </c>
      <c r="W56" s="264">
        <f t="shared" si="16"/>
        <v>116881.88942961697</v>
      </c>
      <c r="X56" s="264">
        <f t="shared" si="16"/>
        <v>116167.28886939838</v>
      </c>
      <c r="Y56" s="264">
        <f t="shared" si="16"/>
        <v>115449.11530637875</v>
      </c>
      <c r="Z56" s="264">
        <f t="shared" si="16"/>
        <v>114727.35087554398</v>
      </c>
      <c r="AA56" s="264">
        <f t="shared" si="16"/>
        <v>114001.97762255507</v>
      </c>
      <c r="AB56" s="264">
        <f t="shared" si="16"/>
        <v>113272.97750330117</v>
      </c>
      <c r="AC56" s="264">
        <f t="shared" si="16"/>
        <v>112540.33238345102</v>
      </c>
      <c r="AD56" s="264">
        <f t="shared" si="16"/>
        <v>111804.02403800166</v>
      </c>
      <c r="AE56" s="264">
        <f>SUM(F56:AD56)</f>
        <v>3515780.0909236064</v>
      </c>
      <c r="AF56" s="248"/>
    </row>
    <row r="57" spans="1:32">
      <c r="A57" s="218"/>
      <c r="B57" s="218"/>
      <c r="C57" s="218"/>
      <c r="D57" s="218"/>
      <c r="E57" s="218"/>
      <c r="F57" s="218"/>
      <c r="G57" s="218"/>
      <c r="H57" s="218"/>
      <c r="I57" s="218"/>
      <c r="J57" s="218"/>
      <c r="K57" s="218"/>
      <c r="L57" s="218"/>
      <c r="M57" s="218"/>
      <c r="N57" s="218"/>
      <c r="O57" s="218"/>
      <c r="P57" s="218"/>
      <c r="Q57" s="218"/>
      <c r="R57" s="218"/>
      <c r="S57" s="218"/>
      <c r="T57" s="218"/>
      <c r="U57" s="218"/>
      <c r="V57" s="218"/>
      <c r="W57" s="218"/>
      <c r="X57" s="218"/>
      <c r="Y57" s="218"/>
      <c r="Z57" s="218"/>
      <c r="AA57" s="218"/>
      <c r="AB57" s="218"/>
      <c r="AC57" s="218"/>
      <c r="AD57" s="218"/>
      <c r="AE57" s="218"/>
      <c r="AF57" s="218"/>
    </row>
    <row r="58" spans="1:32">
      <c r="A58" s="249" t="s">
        <v>210</v>
      </c>
      <c r="B58" s="249"/>
      <c r="C58" s="249"/>
      <c r="D58" s="249"/>
      <c r="E58" s="256" t="s">
        <v>175</v>
      </c>
      <c r="F58" s="252">
        <f>$H$3</f>
        <v>-76728.133248956859</v>
      </c>
      <c r="G58" s="252">
        <f t="shared" ref="G58:T58" si="17">$H$3</f>
        <v>-76728.133248956859</v>
      </c>
      <c r="H58" s="252">
        <f t="shared" si="17"/>
        <v>-76728.133248956859</v>
      </c>
      <c r="I58" s="252">
        <f t="shared" si="17"/>
        <v>-76728.133248956859</v>
      </c>
      <c r="J58" s="252">
        <f t="shared" si="17"/>
        <v>-76728.133248956859</v>
      </c>
      <c r="K58" s="252">
        <f t="shared" si="17"/>
        <v>-76728.133248956859</v>
      </c>
      <c r="L58" s="252">
        <f t="shared" si="17"/>
        <v>-76728.133248956859</v>
      </c>
      <c r="M58" s="252">
        <f t="shared" si="17"/>
        <v>-76728.133248956859</v>
      </c>
      <c r="N58" s="252">
        <f t="shared" si="17"/>
        <v>-76728.133248956859</v>
      </c>
      <c r="O58" s="252">
        <f t="shared" si="17"/>
        <v>-76728.133248956859</v>
      </c>
      <c r="P58" s="252">
        <f t="shared" si="17"/>
        <v>-76728.133248956859</v>
      </c>
      <c r="Q58" s="252">
        <f t="shared" si="17"/>
        <v>-76728.133248956859</v>
      </c>
      <c r="R58" s="252">
        <f t="shared" si="17"/>
        <v>-76728.133248956859</v>
      </c>
      <c r="S58" s="252">
        <f t="shared" si="17"/>
        <v>-76728.133248956859</v>
      </c>
      <c r="T58" s="252">
        <f t="shared" si="17"/>
        <v>-76728.133248956859</v>
      </c>
      <c r="U58" s="252">
        <v>0</v>
      </c>
      <c r="V58" s="252">
        <v>0</v>
      </c>
      <c r="W58" s="252">
        <v>0</v>
      </c>
      <c r="X58" s="252">
        <v>0</v>
      </c>
      <c r="Y58" s="252">
        <v>0</v>
      </c>
      <c r="Z58" s="252">
        <v>0</v>
      </c>
      <c r="AA58" s="252">
        <v>0</v>
      </c>
      <c r="AB58" s="252">
        <v>0</v>
      </c>
      <c r="AC58" s="252">
        <v>0</v>
      </c>
      <c r="AD58" s="252">
        <v>0</v>
      </c>
      <c r="AE58" s="252"/>
      <c r="AF58" s="218"/>
    </row>
    <row r="59" spans="1:32">
      <c r="A59" s="249" t="s">
        <v>211</v>
      </c>
      <c r="B59" s="249"/>
      <c r="C59" s="249"/>
      <c r="D59" s="249"/>
      <c r="E59" s="256" t="s">
        <v>175</v>
      </c>
      <c r="F59" s="252">
        <f>-$B$10/$D$10</f>
        <v>-38000</v>
      </c>
      <c r="G59" s="252">
        <f t="shared" ref="G59:AD59" si="18">-$B$10/$D$10</f>
        <v>-38000</v>
      </c>
      <c r="H59" s="252">
        <f t="shared" si="18"/>
        <v>-38000</v>
      </c>
      <c r="I59" s="252">
        <f t="shared" si="18"/>
        <v>-38000</v>
      </c>
      <c r="J59" s="252">
        <f t="shared" si="18"/>
        <v>-38000</v>
      </c>
      <c r="K59" s="252">
        <f t="shared" si="18"/>
        <v>-38000</v>
      </c>
      <c r="L59" s="252">
        <f t="shared" si="18"/>
        <v>-38000</v>
      </c>
      <c r="M59" s="252">
        <f t="shared" si="18"/>
        <v>-38000</v>
      </c>
      <c r="N59" s="252">
        <f t="shared" si="18"/>
        <v>-38000</v>
      </c>
      <c r="O59" s="252">
        <f t="shared" si="18"/>
        <v>-38000</v>
      </c>
      <c r="P59" s="252">
        <f t="shared" si="18"/>
        <v>-38000</v>
      </c>
      <c r="Q59" s="252">
        <f t="shared" si="18"/>
        <v>-38000</v>
      </c>
      <c r="R59" s="252">
        <f t="shared" si="18"/>
        <v>-38000</v>
      </c>
      <c r="S59" s="252">
        <f t="shared" si="18"/>
        <v>-38000</v>
      </c>
      <c r="T59" s="252">
        <f t="shared" si="18"/>
        <v>-38000</v>
      </c>
      <c r="U59" s="252">
        <f t="shared" si="18"/>
        <v>-38000</v>
      </c>
      <c r="V59" s="252">
        <f t="shared" si="18"/>
        <v>-38000</v>
      </c>
      <c r="W59" s="252">
        <f t="shared" si="18"/>
        <v>-38000</v>
      </c>
      <c r="X59" s="252">
        <f t="shared" si="18"/>
        <v>-38000</v>
      </c>
      <c r="Y59" s="252">
        <f t="shared" si="18"/>
        <v>-38000</v>
      </c>
      <c r="Z59" s="252">
        <f t="shared" si="18"/>
        <v>-38000</v>
      </c>
      <c r="AA59" s="252">
        <f t="shared" si="18"/>
        <v>-38000</v>
      </c>
      <c r="AB59" s="252">
        <f t="shared" si="18"/>
        <v>-38000</v>
      </c>
      <c r="AC59" s="252">
        <f t="shared" si="18"/>
        <v>-38000</v>
      </c>
      <c r="AD59" s="252">
        <f t="shared" si="18"/>
        <v>-38000</v>
      </c>
      <c r="AE59" s="252"/>
      <c r="AF59" s="218"/>
    </row>
    <row r="60" spans="1:32">
      <c r="A60" s="249" t="s">
        <v>212</v>
      </c>
      <c r="B60" s="249"/>
      <c r="C60" s="249"/>
      <c r="D60" s="249"/>
      <c r="E60" s="256" t="s">
        <v>175</v>
      </c>
      <c r="F60" s="252">
        <v>0</v>
      </c>
      <c r="G60" s="252">
        <v>0</v>
      </c>
      <c r="H60" s="252">
        <v>0</v>
      </c>
      <c r="I60" s="252">
        <v>0</v>
      </c>
      <c r="J60" s="252">
        <v>0</v>
      </c>
      <c r="K60" s="252">
        <v>0</v>
      </c>
      <c r="L60" s="252">
        <v>0</v>
      </c>
      <c r="M60" s="252">
        <v>0</v>
      </c>
      <c r="N60" s="252">
        <v>0</v>
      </c>
      <c r="O60" s="252">
        <v>0</v>
      </c>
      <c r="P60" s="252">
        <v>0</v>
      </c>
      <c r="Q60" s="252">
        <v>0</v>
      </c>
      <c r="R60" s="252">
        <v>0</v>
      </c>
      <c r="S60" s="252">
        <v>0</v>
      </c>
      <c r="T60" s="252">
        <v>0</v>
      </c>
      <c r="U60" s="252">
        <v>0</v>
      </c>
      <c r="V60" s="252">
        <v>0</v>
      </c>
      <c r="W60" s="252">
        <v>0</v>
      </c>
      <c r="X60" s="252">
        <v>0</v>
      </c>
      <c r="Y60" s="252">
        <v>0</v>
      </c>
      <c r="Z60" s="252">
        <v>0</v>
      </c>
      <c r="AA60" s="252">
        <v>0</v>
      </c>
      <c r="AB60" s="252">
        <v>0</v>
      </c>
      <c r="AC60" s="252">
        <v>0</v>
      </c>
      <c r="AD60" s="252">
        <v>0</v>
      </c>
      <c r="AE60" s="252"/>
      <c r="AF60" s="218"/>
    </row>
    <row r="61" spans="1:32">
      <c r="A61" s="218"/>
      <c r="B61" s="218"/>
      <c r="C61" s="218"/>
      <c r="D61" s="218"/>
      <c r="E61" s="218"/>
      <c r="F61" s="218"/>
      <c r="G61" s="218"/>
      <c r="H61" s="218"/>
      <c r="I61" s="218"/>
      <c r="J61" s="218"/>
      <c r="K61" s="218"/>
      <c r="L61" s="218"/>
      <c r="M61" s="218"/>
      <c r="N61" s="218"/>
      <c r="O61" s="218"/>
      <c r="P61" s="218"/>
      <c r="Q61" s="218"/>
      <c r="R61" s="218"/>
      <c r="S61" s="218"/>
      <c r="T61" s="218"/>
      <c r="U61" s="218"/>
      <c r="V61" s="218"/>
      <c r="W61" s="218"/>
      <c r="X61" s="218"/>
      <c r="Y61" s="218"/>
      <c r="Z61" s="218"/>
      <c r="AA61" s="218"/>
      <c r="AB61" s="218"/>
      <c r="AC61" s="218"/>
      <c r="AD61" s="218"/>
      <c r="AE61" s="218"/>
      <c r="AF61" s="218"/>
    </row>
    <row r="62" spans="1:32" ht="15.6">
      <c r="A62" s="245" t="s">
        <v>213</v>
      </c>
      <c r="B62" s="246"/>
      <c r="C62" s="246"/>
      <c r="D62" s="246"/>
      <c r="E62" s="247" t="s">
        <v>175</v>
      </c>
      <c r="F62" s="264">
        <f t="shared" ref="F62:AD62" si="19">F56+F58+F59+F60</f>
        <v>54753.26078493752</v>
      </c>
      <c r="G62" s="264">
        <f t="shared" si="19"/>
        <v>46473.212361910046</v>
      </c>
      <c r="H62" s="264">
        <f t="shared" si="19"/>
        <v>45813.421396767386</v>
      </c>
      <c r="I62" s="264">
        <f t="shared" si="19"/>
        <v>45150.331476799052</v>
      </c>
      <c r="J62" s="264">
        <f t="shared" si="19"/>
        <v>44483.926107230815</v>
      </c>
      <c r="K62" s="264">
        <f t="shared" si="19"/>
        <v>43814.188710814793</v>
      </c>
      <c r="L62" s="264">
        <f t="shared" si="19"/>
        <v>43141.10262741668</v>
      </c>
      <c r="M62" s="264">
        <f t="shared" si="19"/>
        <v>42464.651113601562</v>
      </c>
      <c r="N62" s="264">
        <f t="shared" si="19"/>
        <v>41784.817342217386</v>
      </c>
      <c r="O62" s="264">
        <f t="shared" si="19"/>
        <v>41101.584401976244</v>
      </c>
      <c r="P62" s="264">
        <f t="shared" si="19"/>
        <v>40414.935297033939</v>
      </c>
      <c r="Q62" s="264">
        <f t="shared" si="19"/>
        <v>39724.852946566956</v>
      </c>
      <c r="R62" s="264">
        <f t="shared" si="19"/>
        <v>39031.320184347584</v>
      </c>
      <c r="S62" s="264">
        <f t="shared" si="19"/>
        <v>38334.319758317099</v>
      </c>
      <c r="T62" s="264">
        <f t="shared" si="19"/>
        <v>37633.834330156518</v>
      </c>
      <c r="U62" s="264">
        <f t="shared" si="19"/>
        <v>80300.4425577457</v>
      </c>
      <c r="V62" s="264">
        <f t="shared" si="19"/>
        <v>79592.934763167781</v>
      </c>
      <c r="W62" s="264">
        <f t="shared" si="19"/>
        <v>78881.889429616975</v>
      </c>
      <c r="X62" s="264">
        <f t="shared" si="19"/>
        <v>78167.288869398384</v>
      </c>
      <c r="Y62" s="264">
        <f t="shared" si="19"/>
        <v>77449.11530637875</v>
      </c>
      <c r="Z62" s="264">
        <f t="shared" si="19"/>
        <v>76727.350875543983</v>
      </c>
      <c r="AA62" s="264">
        <f t="shared" si="19"/>
        <v>76001.977622555074</v>
      </c>
      <c r="AB62" s="264">
        <f t="shared" si="19"/>
        <v>75272.977503301168</v>
      </c>
      <c r="AC62" s="264">
        <f t="shared" si="19"/>
        <v>74540.332383451023</v>
      </c>
      <c r="AD62" s="264">
        <f t="shared" si="19"/>
        <v>73804.024038001662</v>
      </c>
      <c r="AE62" s="264">
        <f>SUM(F62:AD62)</f>
        <v>1414858.092189254</v>
      </c>
      <c r="AF62" s="248"/>
    </row>
    <row r="63" spans="1:32">
      <c r="A63" s="218"/>
      <c r="B63" s="218"/>
      <c r="C63" s="218"/>
      <c r="D63" s="218"/>
      <c r="E63" s="218"/>
      <c r="F63" s="218"/>
      <c r="G63" s="218"/>
      <c r="H63" s="218"/>
      <c r="I63" s="218"/>
      <c r="J63" s="218"/>
      <c r="K63" s="218"/>
      <c r="L63" s="218"/>
      <c r="M63" s="218"/>
      <c r="N63" s="218"/>
      <c r="O63" s="218"/>
      <c r="P63" s="218"/>
      <c r="Q63" s="218"/>
      <c r="R63" s="218"/>
      <c r="S63" s="218"/>
      <c r="T63" s="218"/>
      <c r="U63" s="218"/>
      <c r="V63" s="218"/>
      <c r="W63" s="218"/>
      <c r="X63" s="218"/>
      <c r="Y63" s="218"/>
      <c r="Z63" s="218"/>
      <c r="AA63" s="218"/>
      <c r="AB63" s="218"/>
      <c r="AC63" s="218"/>
      <c r="AD63" s="218"/>
      <c r="AE63" s="218"/>
      <c r="AF63" s="218"/>
    </row>
    <row r="64" spans="1:32">
      <c r="A64" s="249" t="s">
        <v>214</v>
      </c>
      <c r="B64" s="249"/>
      <c r="C64" s="249"/>
      <c r="D64" s="249"/>
      <c r="E64" s="251" t="s">
        <v>175</v>
      </c>
      <c r="F64" s="252">
        <f t="shared" ref="F64:AD64" si="20">F62*$H$8</f>
        <v>13140.782588385004</v>
      </c>
      <c r="G64" s="252">
        <f t="shared" si="20"/>
        <v>11153.570966858411</v>
      </c>
      <c r="H64" s="252">
        <f t="shared" si="20"/>
        <v>10995.221135224172</v>
      </c>
      <c r="I64" s="252">
        <f t="shared" si="20"/>
        <v>10836.079554431772</v>
      </c>
      <c r="J64" s="252">
        <f t="shared" si="20"/>
        <v>10676.142265735396</v>
      </c>
      <c r="K64" s="252">
        <f t="shared" si="20"/>
        <v>10515.40529059555</v>
      </c>
      <c r="L64" s="252">
        <f t="shared" si="20"/>
        <v>10353.864630580003</v>
      </c>
      <c r="M64" s="252">
        <f t="shared" si="20"/>
        <v>10191.516267264375</v>
      </c>
      <c r="N64" s="252">
        <f t="shared" si="20"/>
        <v>10028.356162132171</v>
      </c>
      <c r="O64" s="252">
        <f t="shared" si="20"/>
        <v>9864.3802564742982</v>
      </c>
      <c r="P64" s="252">
        <f t="shared" si="20"/>
        <v>9699.5844712881444</v>
      </c>
      <c r="Q64" s="252">
        <f t="shared" si="20"/>
        <v>9533.9647071760683</v>
      </c>
      <c r="R64" s="252">
        <f t="shared" si="20"/>
        <v>9367.5168442434206</v>
      </c>
      <c r="S64" s="252">
        <f t="shared" si="20"/>
        <v>9200.2367419961029</v>
      </c>
      <c r="T64" s="252">
        <f t="shared" si="20"/>
        <v>9032.1202392375635</v>
      </c>
      <c r="U64" s="252">
        <f t="shared" si="20"/>
        <v>19272.106213858966</v>
      </c>
      <c r="V64" s="252">
        <f t="shared" si="20"/>
        <v>19102.304343160267</v>
      </c>
      <c r="W64" s="252">
        <f t="shared" si="20"/>
        <v>18931.653463108072</v>
      </c>
      <c r="X64" s="252">
        <f t="shared" si="20"/>
        <v>18760.149328655611</v>
      </c>
      <c r="Y64" s="252">
        <f t="shared" si="20"/>
        <v>18587.7876735309</v>
      </c>
      <c r="Z64" s="252">
        <f t="shared" si="20"/>
        <v>18414.564210130557</v>
      </c>
      <c r="AA64" s="252">
        <f t="shared" si="20"/>
        <v>18240.474629413216</v>
      </c>
      <c r="AB64" s="252">
        <f t="shared" si="20"/>
        <v>18065.514600792281</v>
      </c>
      <c r="AC64" s="252">
        <f t="shared" si="20"/>
        <v>17889.679772028245</v>
      </c>
      <c r="AD64" s="252">
        <f t="shared" si="20"/>
        <v>17712.965769120397</v>
      </c>
      <c r="AE64" s="252">
        <f>SUM(F64:AD64)</f>
        <v>339565.94212542096</v>
      </c>
      <c r="AF64" s="218"/>
    </row>
    <row r="65" spans="1:32">
      <c r="A65" s="249" t="s">
        <v>215</v>
      </c>
      <c r="B65" s="249"/>
      <c r="C65" s="249"/>
      <c r="D65" s="249"/>
      <c r="E65" s="251" t="s">
        <v>175</v>
      </c>
      <c r="F65" s="252">
        <f t="shared" ref="F65:AD65" si="21">F62*$H$9</f>
        <v>2135.3771706125631</v>
      </c>
      <c r="G65" s="252">
        <f t="shared" si="21"/>
        <v>1812.4552821144919</v>
      </c>
      <c r="H65" s="252">
        <f t="shared" si="21"/>
        <v>1786.7234344739281</v>
      </c>
      <c r="I65" s="252">
        <f t="shared" si="21"/>
        <v>1760.862927595163</v>
      </c>
      <c r="J65" s="252">
        <f t="shared" si="21"/>
        <v>1734.8731181820017</v>
      </c>
      <c r="K65" s="252">
        <f t="shared" si="21"/>
        <v>1708.7533597217769</v>
      </c>
      <c r="L65" s="252">
        <f t="shared" si="21"/>
        <v>1682.5030024692505</v>
      </c>
      <c r="M65" s="252">
        <f t="shared" si="21"/>
        <v>1656.1213934304608</v>
      </c>
      <c r="N65" s="252">
        <f t="shared" si="21"/>
        <v>1629.607876346478</v>
      </c>
      <c r="O65" s="252">
        <f t="shared" si="21"/>
        <v>1602.9617916770735</v>
      </c>
      <c r="P65" s="252">
        <f t="shared" si="21"/>
        <v>1576.1824765843237</v>
      </c>
      <c r="Q65" s="252">
        <f t="shared" si="21"/>
        <v>1549.2692649161113</v>
      </c>
      <c r="R65" s="252">
        <f t="shared" si="21"/>
        <v>1522.2214871895558</v>
      </c>
      <c r="S65" s="252">
        <f t="shared" si="21"/>
        <v>1495.0384705743668</v>
      </c>
      <c r="T65" s="252">
        <f t="shared" si="21"/>
        <v>1467.7195388761043</v>
      </c>
      <c r="U65" s="252">
        <f t="shared" si="21"/>
        <v>3131.7172597520821</v>
      </c>
      <c r="V65" s="252">
        <f t="shared" si="21"/>
        <v>3104.1244557635437</v>
      </c>
      <c r="W65" s="252">
        <f t="shared" si="21"/>
        <v>3076.3936877550618</v>
      </c>
      <c r="X65" s="252">
        <f t="shared" si="21"/>
        <v>3048.524265906537</v>
      </c>
      <c r="Y65" s="252">
        <f t="shared" si="21"/>
        <v>3020.5154969487712</v>
      </c>
      <c r="Z65" s="252">
        <f t="shared" si="21"/>
        <v>2992.3666841462154</v>
      </c>
      <c r="AA65" s="252">
        <f t="shared" si="21"/>
        <v>2964.0771272796478</v>
      </c>
      <c r="AB65" s="252">
        <f t="shared" si="21"/>
        <v>2935.6461226287456</v>
      </c>
      <c r="AC65" s="252">
        <f t="shared" si="21"/>
        <v>2907.0729629545899</v>
      </c>
      <c r="AD65" s="252">
        <f t="shared" si="21"/>
        <v>2878.356937482065</v>
      </c>
      <c r="AE65" s="252">
        <f>SUM(F65:AD65)</f>
        <v>55179.465595380905</v>
      </c>
      <c r="AF65" s="218"/>
    </row>
    <row r="66" spans="1:32" ht="16.8">
      <c r="A66" s="249" t="s">
        <v>187</v>
      </c>
      <c r="B66" s="249"/>
      <c r="C66" s="261"/>
      <c r="D66" s="268">
        <f>+B7/2.1*0.02*1.05*65*H10*0.05</f>
        <v>654.55000000000007</v>
      </c>
      <c r="E66" s="251" t="s">
        <v>175</v>
      </c>
      <c r="F66" s="252">
        <f t="shared" ref="F66:AD66" si="22">$D$66</f>
        <v>654.55000000000007</v>
      </c>
      <c r="G66" s="252">
        <f t="shared" si="22"/>
        <v>654.55000000000007</v>
      </c>
      <c r="H66" s="252">
        <f t="shared" si="22"/>
        <v>654.55000000000007</v>
      </c>
      <c r="I66" s="252">
        <f t="shared" si="22"/>
        <v>654.55000000000007</v>
      </c>
      <c r="J66" s="252">
        <f t="shared" si="22"/>
        <v>654.55000000000007</v>
      </c>
      <c r="K66" s="252">
        <f t="shared" si="22"/>
        <v>654.55000000000007</v>
      </c>
      <c r="L66" s="252">
        <f t="shared" si="22"/>
        <v>654.55000000000007</v>
      </c>
      <c r="M66" s="252">
        <f t="shared" si="22"/>
        <v>654.55000000000007</v>
      </c>
      <c r="N66" s="252">
        <f t="shared" si="22"/>
        <v>654.55000000000007</v>
      </c>
      <c r="O66" s="252">
        <f t="shared" si="22"/>
        <v>654.55000000000007</v>
      </c>
      <c r="P66" s="252">
        <f t="shared" si="22"/>
        <v>654.55000000000007</v>
      </c>
      <c r="Q66" s="252">
        <f t="shared" si="22"/>
        <v>654.55000000000007</v>
      </c>
      <c r="R66" s="252">
        <f t="shared" si="22"/>
        <v>654.55000000000007</v>
      </c>
      <c r="S66" s="252">
        <f t="shared" si="22"/>
        <v>654.55000000000007</v>
      </c>
      <c r="T66" s="252">
        <f t="shared" si="22"/>
        <v>654.55000000000007</v>
      </c>
      <c r="U66" s="252">
        <f t="shared" si="22"/>
        <v>654.55000000000007</v>
      </c>
      <c r="V66" s="252">
        <f t="shared" si="22"/>
        <v>654.55000000000007</v>
      </c>
      <c r="W66" s="252">
        <f t="shared" si="22"/>
        <v>654.55000000000007</v>
      </c>
      <c r="X66" s="252">
        <f t="shared" si="22"/>
        <v>654.55000000000007</v>
      </c>
      <c r="Y66" s="252">
        <f t="shared" si="22"/>
        <v>654.55000000000007</v>
      </c>
      <c r="Z66" s="252">
        <f t="shared" si="22"/>
        <v>654.55000000000007</v>
      </c>
      <c r="AA66" s="252">
        <f t="shared" si="22"/>
        <v>654.55000000000007</v>
      </c>
      <c r="AB66" s="252">
        <f t="shared" si="22"/>
        <v>654.55000000000007</v>
      </c>
      <c r="AC66" s="252">
        <f t="shared" si="22"/>
        <v>654.55000000000007</v>
      </c>
      <c r="AD66" s="252">
        <f t="shared" si="22"/>
        <v>654.55000000000007</v>
      </c>
      <c r="AE66" s="252">
        <f>SUM(F66:AD66)</f>
        <v>16363.749999999993</v>
      </c>
      <c r="AF66" s="218"/>
    </row>
    <row r="67" spans="1:32">
      <c r="A67" s="218"/>
      <c r="B67" s="218"/>
      <c r="C67" s="218"/>
      <c r="D67" s="218"/>
      <c r="E67" s="218"/>
      <c r="F67" s="218"/>
      <c r="G67" s="218"/>
      <c r="H67" s="218"/>
      <c r="I67" s="218"/>
      <c r="J67" s="218"/>
      <c r="K67" s="218"/>
      <c r="L67" s="218"/>
      <c r="M67" s="218"/>
      <c r="N67" s="218"/>
      <c r="O67" s="218"/>
      <c r="P67" s="218"/>
      <c r="Q67" s="218"/>
      <c r="R67" s="218"/>
      <c r="S67" s="218"/>
      <c r="T67" s="218"/>
      <c r="U67" s="218"/>
      <c r="V67" s="218"/>
      <c r="W67" s="218"/>
      <c r="X67" s="218"/>
      <c r="Y67" s="218"/>
      <c r="Z67" s="218"/>
      <c r="AA67" s="218"/>
      <c r="AB67" s="218"/>
      <c r="AC67" s="218"/>
      <c r="AD67" s="218"/>
      <c r="AE67" s="218"/>
      <c r="AF67" s="218"/>
    </row>
    <row r="68" spans="1:32" ht="15.6">
      <c r="A68" s="245" t="s">
        <v>216</v>
      </c>
      <c r="B68" s="246"/>
      <c r="C68" s="246"/>
      <c r="D68" s="246"/>
      <c r="E68" s="269">
        <f>-B10</f>
        <v>-950000</v>
      </c>
      <c r="F68" s="264">
        <f>F62-F64-F65-F66-F59</f>
        <v>76822.55102593996</v>
      </c>
      <c r="G68" s="264">
        <f t="shared" ref="G68:AD68" si="23">G62-G64-G65-G66-G59</f>
        <v>70852.636112937151</v>
      </c>
      <c r="H68" s="264">
        <f t="shared" si="23"/>
        <v>70376.926827069285</v>
      </c>
      <c r="I68" s="264">
        <f t="shared" si="23"/>
        <v>69898.838994772115</v>
      </c>
      <c r="J68" s="264">
        <f t="shared" si="23"/>
        <v>69418.36072331341</v>
      </c>
      <c r="K68" s="264">
        <f t="shared" si="23"/>
        <v>68935.480060497473</v>
      </c>
      <c r="L68" s="264">
        <f t="shared" si="23"/>
        <v>68450.184994367417</v>
      </c>
      <c r="M68" s="264">
        <f t="shared" si="23"/>
        <v>67962.463452906726</v>
      </c>
      <c r="N68" s="264">
        <f t="shared" si="23"/>
        <v>67472.303303738736</v>
      </c>
      <c r="O68" s="264">
        <f t="shared" si="23"/>
        <v>66979.692353824881</v>
      </c>
      <c r="P68" s="264">
        <f t="shared" si="23"/>
        <v>66484.618349161465</v>
      </c>
      <c r="Q68" s="264">
        <f t="shared" si="23"/>
        <v>65987.06897447478</v>
      </c>
      <c r="R68" s="264">
        <f t="shared" si="23"/>
        <v>65487.031852914602</v>
      </c>
      <c r="S68" s="264">
        <f t="shared" si="23"/>
        <v>64984.494545746631</v>
      </c>
      <c r="T68" s="264">
        <f t="shared" si="23"/>
        <v>64479.444552042856</v>
      </c>
      <c r="U68" s="264">
        <f t="shared" si="23"/>
        <v>95242.069084134651</v>
      </c>
      <c r="V68" s="264">
        <f t="shared" si="23"/>
        <v>94731.955964243971</v>
      </c>
      <c r="W68" s="264">
        <f t="shared" si="23"/>
        <v>94219.292278753841</v>
      </c>
      <c r="X68" s="264">
        <f t="shared" si="23"/>
        <v>93704.065274836234</v>
      </c>
      <c r="Y68" s="264">
        <f t="shared" si="23"/>
        <v>93186.262135899073</v>
      </c>
      <c r="Z68" s="264">
        <f t="shared" si="23"/>
        <v>92665.869981267198</v>
      </c>
      <c r="AA68" s="264">
        <f t="shared" si="23"/>
        <v>92142.87586586221</v>
      </c>
      <c r="AB68" s="264">
        <f t="shared" si="23"/>
        <v>91617.266779880141</v>
      </c>
      <c r="AC68" s="264">
        <f t="shared" si="23"/>
        <v>91089.029648468189</v>
      </c>
      <c r="AD68" s="264">
        <f t="shared" si="23"/>
        <v>90558.151331399189</v>
      </c>
      <c r="AE68" s="264">
        <f>SUM(E68:AD68)</f>
        <v>1003748.9344684522</v>
      </c>
      <c r="AF68" s="248"/>
    </row>
    <row r="69" spans="1:32">
      <c r="A69" s="218"/>
      <c r="B69" s="218"/>
      <c r="C69" s="218"/>
      <c r="D69" s="218"/>
      <c r="E69" s="218"/>
      <c r="F69" s="237"/>
      <c r="G69" s="237"/>
      <c r="H69" s="237"/>
      <c r="I69" s="237"/>
      <c r="J69" s="237"/>
      <c r="K69" s="237"/>
      <c r="L69" s="237"/>
      <c r="M69" s="237"/>
      <c r="N69" s="237"/>
      <c r="O69" s="237"/>
      <c r="P69" s="237"/>
      <c r="Q69" s="237"/>
      <c r="R69" s="237"/>
      <c r="S69" s="237"/>
      <c r="T69" s="237"/>
      <c r="U69" s="218"/>
      <c r="V69" s="218"/>
      <c r="W69" s="218"/>
      <c r="X69" s="218"/>
      <c r="Y69" s="218"/>
      <c r="Z69" s="218"/>
      <c r="AA69" s="218"/>
      <c r="AB69" s="218"/>
      <c r="AC69" s="218"/>
      <c r="AD69" s="218"/>
      <c r="AE69" s="218"/>
      <c r="AF69" s="218"/>
    </row>
    <row r="70" spans="1:32" ht="15.6">
      <c r="A70" s="245" t="s">
        <v>217</v>
      </c>
      <c r="B70" s="270">
        <f>+E68</f>
        <v>-950000</v>
      </c>
      <c r="C70" s="271"/>
      <c r="D70" s="271"/>
      <c r="E70" s="270">
        <f>B70</f>
        <v>-950000</v>
      </c>
      <c r="F70" s="270">
        <f>E68+F68</f>
        <v>-873177.44897406001</v>
      </c>
      <c r="G70" s="270">
        <f t="shared" ref="G70:AD70" si="24">+F70+G68</f>
        <v>-802324.81286112289</v>
      </c>
      <c r="H70" s="270">
        <f t="shared" si="24"/>
        <v>-731947.88603405363</v>
      </c>
      <c r="I70" s="270">
        <f t="shared" si="24"/>
        <v>-662049.04703928158</v>
      </c>
      <c r="J70" s="270">
        <f t="shared" si="24"/>
        <v>-592630.68631596817</v>
      </c>
      <c r="K70" s="270">
        <f t="shared" si="24"/>
        <v>-523695.20625547069</v>
      </c>
      <c r="L70" s="270">
        <f t="shared" si="24"/>
        <v>-455245.02126110328</v>
      </c>
      <c r="M70" s="270">
        <f t="shared" si="24"/>
        <v>-387282.55780819652</v>
      </c>
      <c r="N70" s="270">
        <f t="shared" si="24"/>
        <v>-319810.25450445781</v>
      </c>
      <c r="O70" s="270">
        <f t="shared" si="24"/>
        <v>-252830.56215063293</v>
      </c>
      <c r="P70" s="270">
        <f t="shared" si="24"/>
        <v>-186345.94380147147</v>
      </c>
      <c r="Q70" s="270">
        <f t="shared" si="24"/>
        <v>-120358.87482699669</v>
      </c>
      <c r="R70" s="270">
        <f t="shared" si="24"/>
        <v>-54871.842974082087</v>
      </c>
      <c r="S70" s="270">
        <f t="shared" si="24"/>
        <v>10112.651571664544</v>
      </c>
      <c r="T70" s="270">
        <f t="shared" si="24"/>
        <v>74592.096123707393</v>
      </c>
      <c r="U70" s="270">
        <f t="shared" si="24"/>
        <v>169834.16520784204</v>
      </c>
      <c r="V70" s="270">
        <f t="shared" si="24"/>
        <v>264566.12117208599</v>
      </c>
      <c r="W70" s="270">
        <f t="shared" si="24"/>
        <v>358785.41345083981</v>
      </c>
      <c r="X70" s="270">
        <f t="shared" si="24"/>
        <v>452489.47872567608</v>
      </c>
      <c r="Y70" s="270">
        <f t="shared" si="24"/>
        <v>545675.74086157512</v>
      </c>
      <c r="Z70" s="270">
        <f t="shared" si="24"/>
        <v>638341.61084284238</v>
      </c>
      <c r="AA70" s="270">
        <f t="shared" si="24"/>
        <v>730484.48670870462</v>
      </c>
      <c r="AB70" s="270">
        <f t="shared" si="24"/>
        <v>822101.75348858477</v>
      </c>
      <c r="AC70" s="270">
        <f t="shared" si="24"/>
        <v>913190.78313705302</v>
      </c>
      <c r="AD70" s="270">
        <f t="shared" si="24"/>
        <v>1003748.9344684522</v>
      </c>
      <c r="AE70" s="218"/>
      <c r="AF70" s="218"/>
    </row>
    <row r="71" spans="1:32">
      <c r="A71" s="218"/>
      <c r="B71" s="218"/>
      <c r="C71" s="218"/>
      <c r="D71" s="218"/>
      <c r="E71" s="218"/>
      <c r="F71" s="237"/>
      <c r="G71" s="237"/>
      <c r="H71" s="237"/>
      <c r="I71" s="237"/>
      <c r="J71" s="237"/>
      <c r="K71" s="237"/>
      <c r="L71" s="237"/>
      <c r="M71" s="237"/>
      <c r="N71" s="237"/>
      <c r="O71" s="237"/>
      <c r="P71" s="237"/>
      <c r="Q71" s="237"/>
      <c r="R71" s="237"/>
      <c r="S71" s="237"/>
      <c r="T71" s="237"/>
      <c r="U71" s="218"/>
      <c r="V71" s="218"/>
      <c r="W71" s="218"/>
      <c r="X71" s="218"/>
      <c r="Y71" s="218"/>
      <c r="Z71" s="218"/>
      <c r="AA71" s="218"/>
      <c r="AB71" s="218"/>
      <c r="AC71" s="218"/>
      <c r="AD71" s="218"/>
      <c r="AE71" s="218"/>
      <c r="AF71" s="218"/>
    </row>
    <row r="72" spans="1:32">
      <c r="A72" s="218"/>
      <c r="B72" s="218"/>
      <c r="C72" s="218"/>
      <c r="D72" s="218"/>
      <c r="E72" s="218"/>
      <c r="F72" s="220"/>
      <c r="G72" s="237"/>
      <c r="H72" s="237"/>
      <c r="I72" s="237"/>
      <c r="J72" s="237"/>
      <c r="K72" s="237"/>
      <c r="L72" s="237"/>
      <c r="M72" s="237"/>
      <c r="N72" s="237"/>
      <c r="O72" s="237"/>
      <c r="P72" s="237"/>
      <c r="Q72" s="237"/>
      <c r="R72" s="237"/>
      <c r="S72" s="237"/>
      <c r="T72" s="237"/>
      <c r="U72" s="218"/>
      <c r="V72" s="218"/>
      <c r="W72" s="218"/>
      <c r="X72" s="218"/>
      <c r="Y72" s="218"/>
      <c r="Z72" s="218"/>
      <c r="AA72" s="218"/>
      <c r="AB72" s="218"/>
      <c r="AC72" s="218"/>
      <c r="AD72" s="218"/>
      <c r="AE72" s="218"/>
      <c r="AF72" s="218"/>
    </row>
    <row r="73" spans="1:32" ht="15.6">
      <c r="A73" s="245" t="s">
        <v>236</v>
      </c>
      <c r="B73" s="246"/>
      <c r="C73" s="246"/>
      <c r="D73" s="246"/>
      <c r="E73" s="246"/>
      <c r="F73" s="272">
        <f>AE68</f>
        <v>1003748.9344684522</v>
      </c>
      <c r="G73" s="273"/>
      <c r="H73" s="273"/>
      <c r="I73" s="273"/>
      <c r="J73" s="273"/>
      <c r="K73" s="273"/>
      <c r="L73" s="273"/>
      <c r="M73" s="273"/>
      <c r="N73" s="273"/>
      <c r="O73" s="273"/>
      <c r="P73" s="273"/>
      <c r="Q73" s="273"/>
      <c r="R73" s="273"/>
      <c r="S73" s="273"/>
      <c r="T73" s="273"/>
      <c r="U73" s="273"/>
      <c r="V73" s="273"/>
      <c r="W73" s="273"/>
      <c r="X73" s="273"/>
      <c r="Y73" s="273"/>
      <c r="Z73" s="273"/>
      <c r="AA73" s="273"/>
      <c r="AB73" s="273"/>
      <c r="AC73" s="273"/>
      <c r="AD73" s="273"/>
      <c r="AE73" s="273"/>
      <c r="AF73" s="248"/>
    </row>
    <row r="74" spans="1:32" ht="15.6">
      <c r="A74" s="218"/>
      <c r="B74" s="218"/>
      <c r="C74" s="218"/>
      <c r="D74" s="218"/>
      <c r="E74" s="218"/>
      <c r="F74" s="220"/>
      <c r="G74" s="273"/>
      <c r="H74" s="273"/>
      <c r="I74" s="273"/>
      <c r="J74" s="273"/>
      <c r="K74" s="273"/>
      <c r="L74" s="273"/>
      <c r="M74" s="273"/>
      <c r="N74" s="273"/>
      <c r="O74" s="273"/>
      <c r="P74" s="273"/>
      <c r="Q74" s="273"/>
      <c r="R74" s="273"/>
      <c r="S74" s="273"/>
      <c r="T74" s="273"/>
      <c r="U74" s="273"/>
      <c r="V74" s="273"/>
      <c r="W74" s="273"/>
      <c r="X74" s="273"/>
      <c r="Y74" s="273"/>
      <c r="Z74" s="273"/>
      <c r="AA74" s="273"/>
      <c r="AB74" s="273"/>
      <c r="AC74" s="273"/>
      <c r="AD74" s="273"/>
      <c r="AE74" s="273"/>
      <c r="AF74" s="218"/>
    </row>
    <row r="75" spans="1:32" ht="15.6">
      <c r="A75" s="245" t="s">
        <v>218</v>
      </c>
      <c r="B75" s="246"/>
      <c r="C75" s="246"/>
      <c r="D75" s="246"/>
      <c r="E75" s="246"/>
      <c r="F75" s="274">
        <f>F56/B8</f>
        <v>8.9200733702049673E-2</v>
      </c>
      <c r="G75" s="248"/>
      <c r="H75" s="275"/>
      <c r="I75" s="248"/>
      <c r="J75" s="248"/>
      <c r="K75" s="248"/>
      <c r="L75" s="248"/>
      <c r="M75" s="248"/>
      <c r="N75" s="248"/>
      <c r="O75" s="248"/>
      <c r="P75" s="248"/>
      <c r="Q75" s="248"/>
      <c r="R75" s="248"/>
      <c r="S75" s="248"/>
      <c r="T75" s="248"/>
      <c r="U75" s="248"/>
      <c r="V75" s="248"/>
      <c r="W75" s="248"/>
      <c r="X75" s="248"/>
      <c r="Y75" s="248"/>
      <c r="Z75" s="248"/>
      <c r="AA75" s="248"/>
      <c r="AB75" s="248"/>
      <c r="AC75" s="248"/>
      <c r="AD75" s="248"/>
      <c r="AE75" s="248"/>
      <c r="AF75" s="248"/>
    </row>
    <row r="76" spans="1:32" ht="15" thickBot="1">
      <c r="A76" s="218"/>
      <c r="B76" s="218"/>
      <c r="C76" s="218"/>
      <c r="D76" s="218"/>
      <c r="E76" s="218"/>
      <c r="F76" s="220"/>
      <c r="G76" s="219"/>
      <c r="H76" s="219"/>
      <c r="I76" s="219"/>
      <c r="J76" s="219"/>
      <c r="K76" s="219"/>
      <c r="L76" s="219"/>
      <c r="M76" s="219"/>
      <c r="N76" s="219"/>
      <c r="O76" s="219"/>
      <c r="P76" s="219"/>
      <c r="Q76" s="219"/>
      <c r="R76" s="219"/>
      <c r="S76" s="219"/>
      <c r="T76" s="219"/>
      <c r="U76" s="218"/>
      <c r="V76" s="218"/>
      <c r="W76" s="218"/>
      <c r="X76" s="218"/>
      <c r="Y76" s="218"/>
      <c r="Z76" s="218"/>
      <c r="AA76" s="218"/>
      <c r="AB76" s="218"/>
      <c r="AC76" s="218"/>
      <c r="AD76" s="218"/>
      <c r="AE76" s="218"/>
      <c r="AF76" s="218"/>
    </row>
    <row r="77" spans="1:32" ht="16.2" thickBot="1">
      <c r="A77" s="276" t="s">
        <v>219</v>
      </c>
      <c r="B77" s="277"/>
      <c r="C77" s="277"/>
      <c r="D77" s="277"/>
      <c r="E77" s="277"/>
      <c r="F77" s="278">
        <f>F68/B10</f>
        <v>8.0865843185199959E-2</v>
      </c>
      <c r="G77" s="248"/>
      <c r="H77" s="248"/>
      <c r="I77" s="248"/>
      <c r="J77" s="248"/>
      <c r="K77" s="248"/>
      <c r="L77" s="248"/>
      <c r="M77" s="248"/>
      <c r="N77" s="248"/>
      <c r="O77" s="248"/>
      <c r="P77" s="248"/>
      <c r="Q77" s="248"/>
      <c r="R77" s="248"/>
      <c r="S77" s="248"/>
      <c r="T77" s="248"/>
      <c r="U77" s="248"/>
      <c r="V77" s="248"/>
      <c r="W77" s="248"/>
      <c r="X77" s="248"/>
      <c r="Y77" s="248"/>
      <c r="Z77" s="248"/>
      <c r="AA77" s="248"/>
      <c r="AB77" s="248"/>
      <c r="AC77" s="248"/>
      <c r="AD77" s="248"/>
      <c r="AE77" s="248"/>
      <c r="AF77" s="248"/>
    </row>
    <row r="78" spans="1:32">
      <c r="A78" s="218"/>
      <c r="B78" s="218"/>
      <c r="C78" s="218"/>
      <c r="D78" s="218"/>
      <c r="E78" s="218"/>
      <c r="F78" s="220"/>
      <c r="G78" s="219"/>
      <c r="H78" s="219"/>
      <c r="I78" s="219"/>
      <c r="J78" s="219"/>
      <c r="K78" s="219"/>
      <c r="L78" s="219"/>
      <c r="M78" s="219"/>
      <c r="N78" s="219"/>
      <c r="O78" s="219"/>
      <c r="P78" s="219"/>
      <c r="Q78" s="219"/>
      <c r="R78" s="219"/>
      <c r="S78" s="219"/>
      <c r="T78" s="219"/>
      <c r="U78" s="218"/>
      <c r="V78" s="218"/>
      <c r="W78" s="218"/>
      <c r="X78" s="218"/>
      <c r="Y78" s="218"/>
      <c r="Z78" s="218"/>
      <c r="AA78" s="218"/>
      <c r="AB78" s="218"/>
      <c r="AC78" s="218"/>
      <c r="AD78" s="218"/>
      <c r="AE78" s="218"/>
      <c r="AF78" s="218"/>
    </row>
    <row r="79" spans="1:32" ht="15.6">
      <c r="A79" s="279" t="s">
        <v>220</v>
      </c>
      <c r="B79" s="280"/>
      <c r="C79" s="280"/>
      <c r="D79" s="280"/>
      <c r="E79" s="280"/>
      <c r="F79" s="281">
        <f>COUNTIF(F70:AD70,"&lt;0")+1</f>
        <v>14</v>
      </c>
      <c r="G79" s="248"/>
      <c r="H79" s="248"/>
      <c r="I79" s="248"/>
      <c r="J79" s="248"/>
      <c r="K79" s="248"/>
      <c r="L79" s="248"/>
      <c r="M79" s="248"/>
      <c r="N79" s="248"/>
      <c r="O79" s="248"/>
      <c r="P79" s="248"/>
      <c r="Q79" s="248"/>
      <c r="R79" s="248"/>
      <c r="S79" s="248"/>
      <c r="T79" s="248"/>
      <c r="U79" s="248"/>
      <c r="V79" s="248"/>
      <c r="W79" s="248"/>
      <c r="X79" s="248"/>
      <c r="Y79" s="248"/>
      <c r="Z79" s="248"/>
      <c r="AA79" s="248"/>
      <c r="AB79" s="248"/>
      <c r="AC79" s="248"/>
      <c r="AD79" s="248"/>
      <c r="AE79" s="248"/>
      <c r="AF79" s="248"/>
    </row>
    <row r="80" spans="1:32">
      <c r="A80" s="282"/>
      <c r="B80" s="283"/>
      <c r="C80" s="283"/>
      <c r="D80" s="283"/>
      <c r="E80" s="283"/>
      <c r="F80" s="284"/>
      <c r="G80" s="218"/>
      <c r="H80" s="218"/>
      <c r="I80" s="218"/>
      <c r="J80" s="218"/>
      <c r="K80" s="218"/>
      <c r="L80" s="218"/>
      <c r="M80" s="218"/>
      <c r="N80" s="218"/>
      <c r="O80" s="218"/>
      <c r="P80" s="218"/>
      <c r="Q80" s="218"/>
      <c r="R80" s="218"/>
      <c r="S80" s="218"/>
      <c r="T80" s="218"/>
      <c r="U80" s="218"/>
      <c r="V80" s="218"/>
      <c r="W80" s="218"/>
      <c r="X80" s="218"/>
      <c r="Y80" s="218"/>
      <c r="Z80" s="218"/>
      <c r="AA80" s="218"/>
      <c r="AB80" s="218"/>
      <c r="AC80" s="218"/>
      <c r="AD80" s="218"/>
      <c r="AE80" s="218"/>
      <c r="AF80" s="218"/>
    </row>
    <row r="81" spans="1:32">
      <c r="A81" s="241" t="s">
        <v>221</v>
      </c>
      <c r="B81" s="218"/>
      <c r="C81" s="218"/>
      <c r="D81" s="218"/>
      <c r="E81" s="218"/>
      <c r="F81" s="218"/>
      <c r="G81" s="218"/>
      <c r="H81" s="218"/>
      <c r="I81" s="218"/>
      <c r="J81" s="218"/>
      <c r="K81" s="218"/>
      <c r="L81" s="218"/>
      <c r="M81" s="218"/>
      <c r="N81" s="218"/>
      <c r="O81" s="218"/>
      <c r="P81" s="218"/>
      <c r="Q81" s="218"/>
      <c r="R81" s="218"/>
      <c r="S81" s="218"/>
      <c r="T81" s="218"/>
      <c r="U81" s="218"/>
      <c r="V81" s="218"/>
      <c r="W81" s="218"/>
      <c r="X81" s="218"/>
      <c r="Y81" s="218"/>
      <c r="Z81" s="218"/>
      <c r="AA81" s="218"/>
      <c r="AB81" s="218"/>
      <c r="AC81" s="218"/>
      <c r="AD81" s="218"/>
      <c r="AE81" s="218"/>
      <c r="AF81" s="218"/>
    </row>
    <row r="82" spans="1:32">
      <c r="A82" s="241" t="s">
        <v>222</v>
      </c>
      <c r="B82" s="218"/>
      <c r="C82" s="218"/>
      <c r="D82" s="218"/>
      <c r="E82" s="218"/>
      <c r="F82" s="218"/>
      <c r="G82" s="218"/>
      <c r="H82" s="218"/>
      <c r="I82" s="218"/>
      <c r="J82" s="218"/>
      <c r="K82" s="218"/>
      <c r="L82" s="218"/>
      <c r="M82" s="218"/>
      <c r="N82" s="218"/>
      <c r="O82" s="218"/>
      <c r="P82" s="218"/>
      <c r="Q82" s="218"/>
      <c r="R82" s="218"/>
      <c r="S82" s="218"/>
      <c r="T82" s="218"/>
      <c r="U82" s="218"/>
      <c r="V82" s="218"/>
      <c r="W82" s="218"/>
      <c r="X82" s="218"/>
      <c r="Y82" s="218"/>
      <c r="Z82" s="218"/>
      <c r="AA82" s="218"/>
      <c r="AB82" s="218"/>
      <c r="AC82" s="218"/>
      <c r="AD82" s="218"/>
      <c r="AE82" s="218"/>
      <c r="AF82" s="218"/>
    </row>
    <row r="83" spans="1:32">
      <c r="A83" s="241" t="s">
        <v>223</v>
      </c>
      <c r="B83" s="218"/>
      <c r="C83" s="218"/>
      <c r="D83" s="218"/>
      <c r="E83" s="218"/>
      <c r="F83" s="218"/>
      <c r="G83" s="218"/>
      <c r="H83" s="218"/>
      <c r="I83" s="218"/>
      <c r="J83" s="218"/>
      <c r="K83" s="218"/>
      <c r="L83" s="218"/>
      <c r="M83" s="218"/>
      <c r="N83" s="218"/>
      <c r="O83" s="218"/>
      <c r="P83" s="218"/>
      <c r="Q83" s="218"/>
      <c r="R83" s="218"/>
      <c r="S83" s="218"/>
      <c r="T83" s="218"/>
      <c r="U83" s="218"/>
      <c r="V83" s="218"/>
      <c r="W83" s="218"/>
      <c r="X83" s="218"/>
      <c r="Y83" s="218"/>
      <c r="Z83" s="218"/>
      <c r="AA83" s="218"/>
      <c r="AB83" s="218"/>
      <c r="AC83" s="218"/>
      <c r="AD83" s="218"/>
      <c r="AE83" s="218"/>
      <c r="AF83" s="218"/>
    </row>
    <row r="84" spans="1:32">
      <c r="A84" s="241" t="s">
        <v>224</v>
      </c>
      <c r="B84" s="218"/>
      <c r="C84" s="218"/>
      <c r="D84" s="218"/>
      <c r="E84" s="218"/>
      <c r="F84" s="218"/>
      <c r="G84" s="218"/>
      <c r="H84" s="218"/>
      <c r="I84" s="218"/>
      <c r="J84" s="218"/>
      <c r="K84" s="218"/>
      <c r="L84" s="218"/>
      <c r="M84" s="218"/>
      <c r="N84" s="218"/>
      <c r="O84" s="218"/>
      <c r="P84" s="218"/>
      <c r="Q84" s="218"/>
      <c r="R84" s="218"/>
      <c r="S84" s="218"/>
      <c r="T84" s="218"/>
      <c r="U84" s="218"/>
      <c r="V84" s="218"/>
      <c r="W84" s="218"/>
      <c r="X84" s="218"/>
      <c r="Y84" s="218"/>
      <c r="Z84" s="218"/>
      <c r="AA84" s="218"/>
      <c r="AB84" s="218"/>
      <c r="AC84" s="218"/>
      <c r="AD84" s="218"/>
      <c r="AE84" s="218"/>
      <c r="AF84" s="218"/>
    </row>
    <row r="85" spans="1:32">
      <c r="A85" s="285"/>
      <c r="B85" s="218"/>
      <c r="C85" s="218"/>
      <c r="D85" s="218"/>
      <c r="E85" s="218"/>
      <c r="F85" s="218"/>
      <c r="G85" s="218"/>
      <c r="H85" s="218"/>
      <c r="I85" s="218"/>
      <c r="J85" s="218"/>
      <c r="K85" s="218"/>
      <c r="L85" s="218"/>
      <c r="M85" s="218"/>
      <c r="N85" s="218"/>
      <c r="O85" s="218"/>
      <c r="P85" s="218"/>
      <c r="Q85" s="218"/>
      <c r="R85" s="218"/>
      <c r="S85" s="218"/>
      <c r="T85" s="218"/>
      <c r="U85" s="218"/>
      <c r="V85" s="218"/>
      <c r="W85" s="218"/>
      <c r="X85" s="218"/>
      <c r="Y85" s="218"/>
      <c r="Z85" s="218"/>
      <c r="AA85" s="218"/>
      <c r="AB85" s="218"/>
      <c r="AC85" s="218"/>
      <c r="AD85" s="218"/>
      <c r="AE85" s="218"/>
      <c r="AF85" s="218"/>
    </row>
    <row r="89" spans="1:32">
      <c r="B89">
        <v>0</v>
      </c>
    </row>
    <row r="90" spans="1:32">
      <c r="B90">
        <f>B89+1</f>
        <v>1</v>
      </c>
    </row>
    <row r="91" spans="1:32">
      <c r="B91">
        <f t="shared" ref="B91:B114" si="25">B90+1</f>
        <v>2</v>
      </c>
    </row>
    <row r="92" spans="1:32">
      <c r="B92">
        <f t="shared" si="25"/>
        <v>3</v>
      </c>
    </row>
    <row r="93" spans="1:32">
      <c r="B93">
        <f t="shared" si="25"/>
        <v>4</v>
      </c>
    </row>
    <row r="94" spans="1:32">
      <c r="B94">
        <f t="shared" si="25"/>
        <v>5</v>
      </c>
    </row>
    <row r="95" spans="1:32">
      <c r="B95">
        <f t="shared" si="25"/>
        <v>6</v>
      </c>
    </row>
    <row r="96" spans="1:32">
      <c r="B96">
        <f t="shared" si="25"/>
        <v>7</v>
      </c>
    </row>
    <row r="97" spans="2:2">
      <c r="B97">
        <f t="shared" si="25"/>
        <v>8</v>
      </c>
    </row>
    <row r="98" spans="2:2">
      <c r="B98">
        <f t="shared" si="25"/>
        <v>9</v>
      </c>
    </row>
    <row r="99" spans="2:2">
      <c r="B99">
        <f t="shared" si="25"/>
        <v>10</v>
      </c>
    </row>
    <row r="100" spans="2:2">
      <c r="B100">
        <f t="shared" si="25"/>
        <v>11</v>
      </c>
    </row>
    <row r="101" spans="2:2">
      <c r="B101">
        <f t="shared" si="25"/>
        <v>12</v>
      </c>
    </row>
    <row r="102" spans="2:2">
      <c r="B102">
        <f t="shared" si="25"/>
        <v>13</v>
      </c>
    </row>
    <row r="103" spans="2:2">
      <c r="B103">
        <f t="shared" si="25"/>
        <v>14</v>
      </c>
    </row>
    <row r="104" spans="2:2">
      <c r="B104">
        <f t="shared" si="25"/>
        <v>15</v>
      </c>
    </row>
    <row r="105" spans="2:2">
      <c r="B105">
        <f t="shared" si="25"/>
        <v>16</v>
      </c>
    </row>
    <row r="106" spans="2:2">
      <c r="B106">
        <f t="shared" si="25"/>
        <v>17</v>
      </c>
    </row>
    <row r="107" spans="2:2">
      <c r="B107">
        <f t="shared" si="25"/>
        <v>18</v>
      </c>
    </row>
    <row r="108" spans="2:2">
      <c r="B108">
        <f t="shared" si="25"/>
        <v>19</v>
      </c>
    </row>
    <row r="109" spans="2:2">
      <c r="B109">
        <f t="shared" si="25"/>
        <v>20</v>
      </c>
    </row>
    <row r="110" spans="2:2">
      <c r="B110">
        <f t="shared" si="25"/>
        <v>21</v>
      </c>
    </row>
    <row r="111" spans="2:2">
      <c r="B111">
        <f t="shared" si="25"/>
        <v>22</v>
      </c>
    </row>
    <row r="112" spans="2:2">
      <c r="B112">
        <f t="shared" si="25"/>
        <v>23</v>
      </c>
    </row>
    <row r="113" spans="2:2">
      <c r="B113">
        <f t="shared" si="25"/>
        <v>24</v>
      </c>
    </row>
    <row r="114" spans="2:2">
      <c r="B114">
        <f t="shared" si="25"/>
        <v>25</v>
      </c>
    </row>
  </sheetData>
  <dataValidations disablePrompts="1" count="1">
    <dataValidation type="list" allowBlank="1" showInputMessage="1" showErrorMessage="1" sqref="B17:B21" xr:uid="{3B8C5651-B39C-41B4-8EB2-40009FB878D3}">
      <formula1>"180,200"</formula1>
    </dataValidation>
  </dataValidations>
  <hyperlinks>
    <hyperlink ref="C11" r:id="rId1" xr:uid="{EEB0119C-4C5D-448B-BD39-EAD8C06D0B8B}"/>
  </hyperlinks>
  <pageMargins left="0.7" right="0.7" top="0.75" bottom="0.75" header="0.3" footer="0.3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TABELLE&amp;REG.DEL.UE 2015 24</vt:lpstr>
      <vt:lpstr>Calcolo</vt:lpstr>
      <vt:lpstr>Piano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Cerino Abdin</dc:creator>
  <cp:lastModifiedBy>Alberto</cp:lastModifiedBy>
  <dcterms:created xsi:type="dcterms:W3CDTF">2015-06-08T06:12:59Z</dcterms:created>
  <dcterms:modified xsi:type="dcterms:W3CDTF">2022-10-05T13:15:33Z</dcterms:modified>
</cp:coreProperties>
</file>